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42873687-F734-4C97-AF13-A9909682B56B}" xr6:coauthVersionLast="47" xr6:coauthVersionMax="47" xr10:uidLastSave="{00000000-0000-0000-0000-000000000000}"/>
  <bookViews>
    <workbookView xWindow="-28920" yWindow="-2040" windowWidth="29040" windowHeight="17520" firstSheet="5" activeTab="8" xr2:uid="{00000000-000D-0000-FFFF-FFFF00000000}"/>
  </bookViews>
  <sheets>
    <sheet name="Hilfe und Haftungsausschluss" sheetId="1" r:id="rId1"/>
    <sheet name="Bemessungswerte Raugerinne" sheetId="8" r:id="rId2"/>
    <sheet name="Bemessungswerte FAA" sheetId="12" r:id="rId3"/>
    <sheet name="Bedienung Fischaufstieg Becken" sheetId="14" r:id="rId4"/>
    <sheet name="Riegelrampe" sheetId="10" r:id="rId5"/>
    <sheet name="Riegelrampe variabel " sheetId="3" r:id="rId6"/>
    <sheet name="Schlitzpass" sheetId="5" r:id="rId7"/>
    <sheet name="Techn. Beckenpass" sheetId="6" r:id="rId8"/>
    <sheet name="Störst.-Q30 0,88 m3s-korr" sheetId="17" r:id="rId9"/>
    <sheet name="Bedienhinweis Störsteinbauweise" sheetId="15" r:id="rId10"/>
    <sheet name="Tauchwand-Grundstrahl" sheetId="7" r:id="rId11"/>
  </sheets>
  <definedNames>
    <definedName name="solver_adj" localSheetId="4" hidden="1">Riegelrampe!$T$27:$T$37,Riegelrampe!$F$12</definedName>
    <definedName name="solver_adj" localSheetId="5" hidden="1">'Riegelrampe variabel '!$S$26:$S$34,'Riegelrampe variabel '!$F$12</definedName>
    <definedName name="solver_adj" localSheetId="6" hidden="1">Schlitzpass!$M$22:$M$35</definedName>
    <definedName name="solver_adj" localSheetId="8" hidden="1">'Störst.-Q30 0,88 m3s-korr'!$C$45,'Störst.-Q30 0,88 m3s-korr'!$C$7</definedName>
    <definedName name="solver_cvg" localSheetId="4" hidden="1">0.0001</definedName>
    <definedName name="solver_cvg" localSheetId="5" hidden="1">0.0001</definedName>
    <definedName name="solver_cvg" localSheetId="6" hidden="1">0.0001</definedName>
    <definedName name="solver_cvg" localSheetId="8" hidden="1">0.0001</definedName>
    <definedName name="solver_drv" localSheetId="4" hidden="1">1</definedName>
    <definedName name="solver_drv" localSheetId="5" hidden="1">1</definedName>
    <definedName name="solver_drv" localSheetId="6" hidden="1">1</definedName>
    <definedName name="solver_drv" localSheetId="8" hidden="1">2</definedName>
    <definedName name="solver_eng" localSheetId="4" hidden="1">1</definedName>
    <definedName name="solver_eng" localSheetId="8" hidden="1">1</definedName>
    <definedName name="solver_est" localSheetId="4" hidden="1">1</definedName>
    <definedName name="solver_est" localSheetId="5" hidden="1">1</definedName>
    <definedName name="solver_est" localSheetId="6" hidden="1">1</definedName>
    <definedName name="solver_est" localSheetId="8" hidden="1">1</definedName>
    <definedName name="solver_itr" localSheetId="4" hidden="1">100</definedName>
    <definedName name="solver_itr" localSheetId="5" hidden="1">100</definedName>
    <definedName name="solver_itr" localSheetId="6" hidden="1">100</definedName>
    <definedName name="solver_itr" localSheetId="8" hidden="1">2147483647</definedName>
    <definedName name="solver_lhs1" localSheetId="4" hidden="1">Riegelrampe!$Y$26</definedName>
    <definedName name="solver_lhs1" localSheetId="5" hidden="1">'Riegelrampe variabel '!$W$25</definedName>
    <definedName name="solver_lhs1" localSheetId="6" hidden="1">Schlitzpass!$P$21</definedName>
    <definedName name="solver_lhs1" localSheetId="8" hidden="1">'Störst.-Q30 0,88 m3s-korr'!$C$44</definedName>
    <definedName name="solver_lhs10" localSheetId="4" hidden="1">Riegelrampe!$Y$26</definedName>
    <definedName name="solver_lhs10" localSheetId="6" hidden="1">Schlitzpass!$P$21</definedName>
    <definedName name="solver_lhs11" localSheetId="4" hidden="1">Riegelrampe!$Y$26</definedName>
    <definedName name="solver_lhs11" localSheetId="6" hidden="1">Schlitzpass!$P$21</definedName>
    <definedName name="solver_lhs12" localSheetId="4" hidden="1">Riegelrampe!$Y$26</definedName>
    <definedName name="solver_lhs12" localSheetId="6" hidden="1">Schlitzpass!$P$21</definedName>
    <definedName name="solver_lhs13" localSheetId="4" hidden="1">Riegelrampe!$Y$26</definedName>
    <definedName name="solver_lhs13" localSheetId="6" hidden="1">Schlitzpass!$P$21</definedName>
    <definedName name="solver_lhs14" localSheetId="4" hidden="1">Riegelrampe!$Y$26</definedName>
    <definedName name="solver_lhs14" localSheetId="6" hidden="1">Schlitzpass!$P$21</definedName>
    <definedName name="solver_lhs15" localSheetId="4" hidden="1">Riegelrampe!$Y$26</definedName>
    <definedName name="solver_lhs16" localSheetId="4" hidden="1">Riegelrampe!$Y$26</definedName>
    <definedName name="solver_lhs17" localSheetId="4" hidden="1">Riegelrampe!$Y$26</definedName>
    <definedName name="solver_lhs18" localSheetId="4" hidden="1">Riegelrampe!$Y$26</definedName>
    <definedName name="solver_lhs19" localSheetId="4" hidden="1">Riegelrampe!$Y$26</definedName>
    <definedName name="solver_lhs2" localSheetId="4" hidden="1">Riegelrampe!$Y$26</definedName>
    <definedName name="solver_lhs2" localSheetId="5" hidden="1">'Riegelrampe variabel '!$W$25</definedName>
    <definedName name="solver_lhs2" localSheetId="6" hidden="1">Schlitzpass!$P$21</definedName>
    <definedName name="solver_lhs3" localSheetId="4" hidden="1">Riegelrampe!$Y$26</definedName>
    <definedName name="solver_lhs3" localSheetId="5" hidden="1">'Riegelrampe variabel '!$W$25</definedName>
    <definedName name="solver_lhs3" localSheetId="6" hidden="1">Schlitzpass!$P$21</definedName>
    <definedName name="solver_lhs4" localSheetId="4" hidden="1">Riegelrampe!$Y$26</definedName>
    <definedName name="solver_lhs4" localSheetId="5" hidden="1">'Riegelrampe variabel '!$W$25</definedName>
    <definedName name="solver_lhs4" localSheetId="6" hidden="1">Schlitzpass!$P$21</definedName>
    <definedName name="solver_lhs5" localSheetId="4" hidden="1">Riegelrampe!$Y$26</definedName>
    <definedName name="solver_lhs5" localSheetId="5" hidden="1">'Riegelrampe variabel '!$W$25</definedName>
    <definedName name="solver_lhs5" localSheetId="6" hidden="1">Schlitzpass!$P$21</definedName>
    <definedName name="solver_lhs6" localSheetId="4" hidden="1">Riegelrampe!$Y$26</definedName>
    <definedName name="solver_lhs6" localSheetId="5" hidden="1">'Riegelrampe variabel '!$W$25</definedName>
    <definedName name="solver_lhs6" localSheetId="6" hidden="1">Schlitzpass!$P$21</definedName>
    <definedName name="solver_lhs7" localSheetId="4" hidden="1">Riegelrampe!$Y$26</definedName>
    <definedName name="solver_lhs7" localSheetId="5" hidden="1">'Riegelrampe variabel '!$W$25</definedName>
    <definedName name="solver_lhs7" localSheetId="6" hidden="1">Schlitzpass!$P$21</definedName>
    <definedName name="solver_lhs8" localSheetId="4" hidden="1">Riegelrampe!$Y$26</definedName>
    <definedName name="solver_lhs8" localSheetId="5" hidden="1">'Riegelrampe variabel '!$W$25</definedName>
    <definedName name="solver_lhs8" localSheetId="6" hidden="1">Schlitzpass!$P$21</definedName>
    <definedName name="solver_lhs9" localSheetId="4" hidden="1">Riegelrampe!$Y$26</definedName>
    <definedName name="solver_lhs9" localSheetId="5" hidden="1">'Riegelrampe variabel '!$W$25</definedName>
    <definedName name="solver_lhs9" localSheetId="6" hidden="1">Schlitzpass!$P$21</definedName>
    <definedName name="solver_lin" localSheetId="4" hidden="1">2</definedName>
    <definedName name="solver_lin" localSheetId="5" hidden="1">2</definedName>
    <definedName name="solver_lin" localSheetId="6" hidden="1">2</definedName>
    <definedName name="solver_mip" localSheetId="4" hidden="1">2147483647</definedName>
    <definedName name="solver_mip" localSheetId="8" hidden="1">2147483647</definedName>
    <definedName name="solver_mni" localSheetId="4" hidden="1">30</definedName>
    <definedName name="solver_mni" localSheetId="8" hidden="1">30</definedName>
    <definedName name="solver_mrt" localSheetId="4" hidden="1">0.075</definedName>
    <definedName name="solver_mrt" localSheetId="8" hidden="1">0.075</definedName>
    <definedName name="solver_msl" localSheetId="4" hidden="1">2</definedName>
    <definedName name="solver_msl" localSheetId="8" hidden="1">2</definedName>
    <definedName name="solver_neg" localSheetId="4" hidden="1">2</definedName>
    <definedName name="solver_neg" localSheetId="5" hidden="1">2</definedName>
    <definedName name="solver_neg" localSheetId="6" hidden="1">2</definedName>
    <definedName name="solver_neg" localSheetId="8" hidden="1">1</definedName>
    <definedName name="solver_nod" localSheetId="4" hidden="1">2147483647</definedName>
    <definedName name="solver_nod" localSheetId="8" hidden="1">2147483647</definedName>
    <definedName name="solver_num" localSheetId="4" hidden="1">11</definedName>
    <definedName name="solver_num" localSheetId="5" hidden="1">9</definedName>
    <definedName name="solver_num" localSheetId="6" hidden="1">14</definedName>
    <definedName name="solver_num" localSheetId="8" hidden="1">1</definedName>
    <definedName name="solver_nwt" localSheetId="4" hidden="1">1</definedName>
    <definedName name="solver_nwt" localSheetId="5" hidden="1">1</definedName>
    <definedName name="solver_nwt" localSheetId="6" hidden="1">1</definedName>
    <definedName name="solver_nwt" localSheetId="8" hidden="1">1</definedName>
    <definedName name="solver_opt" localSheetId="4" hidden="1">Riegelrampe!$Y$28</definedName>
    <definedName name="solver_opt" localSheetId="5" hidden="1">'Riegelrampe variabel '!$W$28</definedName>
    <definedName name="solver_opt" localSheetId="6" hidden="1">Schlitzpass!$P$23</definedName>
    <definedName name="solver_opt" localSheetId="8" hidden="1">'Störst.-Q30 0,88 m3s-korr'!$C$50</definedName>
    <definedName name="solver_pre" localSheetId="4" hidden="1">0.000001</definedName>
    <definedName name="solver_pre" localSheetId="5" hidden="1">0.000001</definedName>
    <definedName name="solver_pre" localSheetId="6" hidden="1">0.000001</definedName>
    <definedName name="solver_pre" localSheetId="8" hidden="1">0.000001</definedName>
    <definedName name="solver_rbv" localSheetId="4" hidden="1">1</definedName>
    <definedName name="solver_rbv" localSheetId="8" hidden="1">2</definedName>
    <definedName name="solver_rel1" localSheetId="4" hidden="1">2</definedName>
    <definedName name="solver_rel1" localSheetId="5" hidden="1">2</definedName>
    <definedName name="solver_rel1" localSheetId="6" hidden="1">2</definedName>
    <definedName name="solver_rel1" localSheetId="8" hidden="1">2</definedName>
    <definedName name="solver_rel10" localSheetId="4" hidden="1">2</definedName>
    <definedName name="solver_rel10" localSheetId="6" hidden="1">2</definedName>
    <definedName name="solver_rel11" localSheetId="4" hidden="1">2</definedName>
    <definedName name="solver_rel11" localSheetId="6" hidden="1">2</definedName>
    <definedName name="solver_rel12" localSheetId="4" hidden="1">2</definedName>
    <definedName name="solver_rel12" localSheetId="6" hidden="1">2</definedName>
    <definedName name="solver_rel13" localSheetId="4" hidden="1">2</definedName>
    <definedName name="solver_rel13" localSheetId="6" hidden="1">2</definedName>
    <definedName name="solver_rel14" localSheetId="4" hidden="1">2</definedName>
    <definedName name="solver_rel14" localSheetId="6" hidden="1">2</definedName>
    <definedName name="solver_rel15" localSheetId="4" hidden="1">2</definedName>
    <definedName name="solver_rel16" localSheetId="4" hidden="1">2</definedName>
    <definedName name="solver_rel17" localSheetId="4" hidden="1">2</definedName>
    <definedName name="solver_rel18" localSheetId="4" hidden="1">2</definedName>
    <definedName name="solver_rel19" localSheetId="4" hidden="1">2</definedName>
    <definedName name="solver_rel2" localSheetId="4" hidden="1">2</definedName>
    <definedName name="solver_rel2" localSheetId="5" hidden="1">2</definedName>
    <definedName name="solver_rel2" localSheetId="6" hidden="1">2</definedName>
    <definedName name="solver_rel3" localSheetId="4" hidden="1">2</definedName>
    <definedName name="solver_rel3" localSheetId="5" hidden="1">2</definedName>
    <definedName name="solver_rel3" localSheetId="6" hidden="1">2</definedName>
    <definedName name="solver_rel4" localSheetId="4" hidden="1">2</definedName>
    <definedName name="solver_rel4" localSheetId="5" hidden="1">2</definedName>
    <definedName name="solver_rel4" localSheetId="6" hidden="1">2</definedName>
    <definedName name="solver_rel5" localSheetId="4" hidden="1">2</definedName>
    <definedName name="solver_rel5" localSheetId="5" hidden="1">2</definedName>
    <definedName name="solver_rel5" localSheetId="6" hidden="1">2</definedName>
    <definedName name="solver_rel6" localSheetId="4" hidden="1">2</definedName>
    <definedName name="solver_rel6" localSheetId="5" hidden="1">2</definedName>
    <definedName name="solver_rel6" localSheetId="6" hidden="1">2</definedName>
    <definedName name="solver_rel7" localSheetId="4" hidden="1">2</definedName>
    <definedName name="solver_rel7" localSheetId="5" hidden="1">2</definedName>
    <definedName name="solver_rel7" localSheetId="6" hidden="1">2</definedName>
    <definedName name="solver_rel8" localSheetId="4" hidden="1">2</definedName>
    <definedName name="solver_rel8" localSheetId="5" hidden="1">2</definedName>
    <definedName name="solver_rel8" localSheetId="6" hidden="1">2</definedName>
    <definedName name="solver_rel9" localSheetId="4" hidden="1">2</definedName>
    <definedName name="solver_rel9" localSheetId="5" hidden="1">2</definedName>
    <definedName name="solver_rel9" localSheetId="6" hidden="1">2</definedName>
    <definedName name="solver_rhs1" localSheetId="4" hidden="1">Riegelrampe!$Y$27</definedName>
    <definedName name="solver_rhs1" localSheetId="5" hidden="1">'Riegelrampe variabel '!$W$26</definedName>
    <definedName name="solver_rhs1" localSheetId="6" hidden="1">Schlitzpass!$P$22</definedName>
    <definedName name="solver_rhs1" localSheetId="8" hidden="1">'Störst.-Q30 0,88 m3s-korr'!$C$45</definedName>
    <definedName name="solver_rhs10" localSheetId="4" hidden="1">Riegelrampe!$Y$36</definedName>
    <definedName name="solver_rhs10" localSheetId="6" hidden="1">Schlitzpass!$P$31</definedName>
    <definedName name="solver_rhs11" localSheetId="4" hidden="1">Riegelrampe!$Y$37</definedName>
    <definedName name="solver_rhs11" localSheetId="6" hidden="1">Schlitzpass!$P$32</definedName>
    <definedName name="solver_rhs12" localSheetId="4" hidden="1">Riegelrampe!$Y$38</definedName>
    <definedName name="solver_rhs12" localSheetId="6" hidden="1">Schlitzpass!$P$33</definedName>
    <definedName name="solver_rhs13" localSheetId="4" hidden="1">Riegelrampe!$Y$39</definedName>
    <definedName name="solver_rhs13" localSheetId="6" hidden="1">Schlitzpass!$P$34</definedName>
    <definedName name="solver_rhs14" localSheetId="4" hidden="1">Riegelrampe!$Y$40</definedName>
    <definedName name="solver_rhs14" localSheetId="6" hidden="1">Schlitzpass!$P$35</definedName>
    <definedName name="solver_rhs15" localSheetId="4" hidden="1">Riegelrampe!$Y$41</definedName>
    <definedName name="solver_rhs16" localSheetId="4" hidden="1">Riegelrampe!$Y$42</definedName>
    <definedName name="solver_rhs17" localSheetId="4" hidden="1">Riegelrampe!$Y$43</definedName>
    <definedName name="solver_rhs18" localSheetId="4" hidden="1">Riegelrampe!$Y$44</definedName>
    <definedName name="solver_rhs19" localSheetId="4" hidden="1">Riegelrampe!$Y$45</definedName>
    <definedName name="solver_rhs2" localSheetId="4" hidden="1">Riegelrampe!$Y$28</definedName>
    <definedName name="solver_rhs2" localSheetId="5" hidden="1">'Riegelrampe variabel '!$W$27</definedName>
    <definedName name="solver_rhs2" localSheetId="6" hidden="1">Schlitzpass!$P$23</definedName>
    <definedName name="solver_rhs3" localSheetId="4" hidden="1">Riegelrampe!$Y$29</definedName>
    <definedName name="solver_rhs3" localSheetId="5" hidden="1">'Riegelrampe variabel '!$W$28</definedName>
    <definedName name="solver_rhs3" localSheetId="6" hidden="1">Schlitzpass!$P$24</definedName>
    <definedName name="solver_rhs4" localSheetId="4" hidden="1">Riegelrampe!$Y$30</definedName>
    <definedName name="solver_rhs4" localSheetId="5" hidden="1">'Riegelrampe variabel '!$W$29</definedName>
    <definedName name="solver_rhs4" localSheetId="6" hidden="1">Schlitzpass!$P$25</definedName>
    <definedName name="solver_rhs5" localSheetId="4" hidden="1">Riegelrampe!$Y$31</definedName>
    <definedName name="solver_rhs5" localSheetId="5" hidden="1">'Riegelrampe variabel '!$W$30</definedName>
    <definedName name="solver_rhs5" localSheetId="6" hidden="1">Schlitzpass!$P$26</definedName>
    <definedName name="solver_rhs6" localSheetId="4" hidden="1">Riegelrampe!$Y$32</definedName>
    <definedName name="solver_rhs6" localSheetId="5" hidden="1">'Riegelrampe variabel '!$W$31</definedName>
    <definedName name="solver_rhs6" localSheetId="6" hidden="1">Schlitzpass!$P$27</definedName>
    <definedName name="solver_rhs7" localSheetId="4" hidden="1">Riegelrampe!$Y$33</definedName>
    <definedName name="solver_rhs7" localSheetId="5" hidden="1">'Riegelrampe variabel '!$W$32</definedName>
    <definedName name="solver_rhs7" localSheetId="6" hidden="1">Schlitzpass!$P$28</definedName>
    <definedName name="solver_rhs8" localSheetId="4" hidden="1">Riegelrampe!$Y$34</definedName>
    <definedName name="solver_rhs8" localSheetId="5" hidden="1">'Riegelrampe variabel '!$W$33</definedName>
    <definedName name="solver_rhs8" localSheetId="6" hidden="1">Schlitzpass!$P$29</definedName>
    <definedName name="solver_rhs9" localSheetId="4" hidden="1">Riegelrampe!$Y$35</definedName>
    <definedName name="solver_rhs9" localSheetId="5" hidden="1">'Riegelrampe variabel '!$W$34</definedName>
    <definedName name="solver_rhs9" localSheetId="6" hidden="1">Schlitzpass!$P$30</definedName>
    <definedName name="solver_rlx" localSheetId="4" hidden="1">1</definedName>
    <definedName name="solver_rlx" localSheetId="8" hidden="1">2</definedName>
    <definedName name="solver_rsd" localSheetId="4" hidden="1">0</definedName>
    <definedName name="solver_rsd" localSheetId="8" hidden="1">0</definedName>
    <definedName name="solver_scl" localSheetId="4" hidden="1">1</definedName>
    <definedName name="solver_scl" localSheetId="5" hidden="1">1</definedName>
    <definedName name="solver_scl" localSheetId="6" hidden="1">1</definedName>
    <definedName name="solver_scl" localSheetId="8" hidden="1">2</definedName>
    <definedName name="solver_sho" localSheetId="4" hidden="1">2</definedName>
    <definedName name="solver_sho" localSheetId="5" hidden="1">2</definedName>
    <definedName name="solver_sho" localSheetId="6" hidden="1">2</definedName>
    <definedName name="solver_sho" localSheetId="8" hidden="1">2</definedName>
    <definedName name="solver_ssz" localSheetId="4" hidden="1">100</definedName>
    <definedName name="solver_ssz" localSheetId="8" hidden="1">100</definedName>
    <definedName name="solver_tim" localSheetId="4" hidden="1">100</definedName>
    <definedName name="solver_tim" localSheetId="5" hidden="1">100</definedName>
    <definedName name="solver_tim" localSheetId="6" hidden="1">100</definedName>
    <definedName name="solver_tim" localSheetId="8" hidden="1">2147483647</definedName>
    <definedName name="solver_tol" localSheetId="4" hidden="1">0.05</definedName>
    <definedName name="solver_tol" localSheetId="5" hidden="1">0.05</definedName>
    <definedName name="solver_tol" localSheetId="6" hidden="1">0.05</definedName>
    <definedName name="solver_tol" localSheetId="8" hidden="1">0.01</definedName>
    <definedName name="solver_typ" localSheetId="4" hidden="1">3</definedName>
    <definedName name="solver_typ" localSheetId="5" hidden="1">3</definedName>
    <definedName name="solver_typ" localSheetId="6" hidden="1">1</definedName>
    <definedName name="solver_typ" localSheetId="8" hidden="1">3</definedName>
    <definedName name="solver_val" localSheetId="4" hidden="1">0.3</definedName>
    <definedName name="solver_val" localSheetId="5" hidden="1">2.2</definedName>
    <definedName name="solver_val" localSheetId="6" hidden="1">0</definedName>
    <definedName name="solver_val" localSheetId="8" hidden="1">0.88</definedName>
    <definedName name="solver_ver" localSheetId="4"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7" l="1"/>
  <c r="C36" i="17"/>
  <c r="C30" i="17" s="1"/>
  <c r="I35" i="17"/>
  <c r="C34" i="17"/>
  <c r="C40" i="17" s="1"/>
  <c r="C32" i="17"/>
  <c r="C33" i="17" s="1"/>
  <c r="C31" i="17"/>
  <c r="C29" i="17"/>
  <c r="C46" i="17" s="1"/>
  <c r="C28" i="17"/>
  <c r="C27" i="17"/>
  <c r="C26" i="17"/>
  <c r="C25" i="17"/>
  <c r="C22" i="17"/>
  <c r="C18" i="17"/>
  <c r="C8" i="17"/>
  <c r="E6" i="17"/>
  <c r="C47" i="17" l="1"/>
  <c r="C35" i="17"/>
  <c r="C39" i="17"/>
  <c r="AK32" i="12"/>
  <c r="AL32" i="12"/>
  <c r="AK33" i="12"/>
  <c r="AL33" i="12"/>
  <c r="AK34" i="12"/>
  <c r="AL34" i="12"/>
  <c r="AK35" i="12"/>
  <c r="AL35" i="12"/>
  <c r="W17" i="12"/>
  <c r="X17" i="12"/>
  <c r="W18" i="12"/>
  <c r="X18" i="12"/>
  <c r="W19" i="12"/>
  <c r="X19" i="12"/>
  <c r="W20" i="12"/>
  <c r="X20" i="12"/>
  <c r="W21" i="12"/>
  <c r="X21" i="12"/>
  <c r="W22" i="12"/>
  <c r="X22" i="12"/>
  <c r="W23" i="12"/>
  <c r="X23" i="12"/>
  <c r="W24" i="12"/>
  <c r="X24" i="12"/>
  <c r="W25" i="12"/>
  <c r="X25" i="12"/>
  <c r="W26" i="12"/>
  <c r="X26" i="12"/>
  <c r="W27" i="12"/>
  <c r="X27" i="12"/>
  <c r="W28" i="12"/>
  <c r="X28" i="12"/>
  <c r="W29" i="12"/>
  <c r="X29" i="12"/>
  <c r="W30" i="12"/>
  <c r="X30" i="12"/>
  <c r="W31" i="12"/>
  <c r="X31" i="12"/>
  <c r="W32" i="12"/>
  <c r="X32" i="12"/>
  <c r="W33" i="12"/>
  <c r="X33" i="12"/>
  <c r="W34" i="12"/>
  <c r="X34" i="12"/>
  <c r="W35" i="12"/>
  <c r="X35" i="12"/>
  <c r="X16" i="12"/>
  <c r="W16" i="12"/>
  <c r="X16" i="8"/>
  <c r="X17" i="8"/>
  <c r="X18" i="8"/>
  <c r="X19" i="8"/>
  <c r="X20" i="8"/>
  <c r="X21" i="8"/>
  <c r="X22" i="8"/>
  <c r="X23" i="8"/>
  <c r="X24" i="8"/>
  <c r="X25" i="8"/>
  <c r="X26" i="8"/>
  <c r="X27" i="8"/>
  <c r="X28" i="8"/>
  <c r="X29" i="8"/>
  <c r="X30" i="8"/>
  <c r="X31" i="8"/>
  <c r="X32" i="8"/>
  <c r="X33" i="8"/>
  <c r="X34" i="8"/>
  <c r="X15" i="8"/>
  <c r="Y16" i="8"/>
  <c r="Y17" i="8"/>
  <c r="Y18" i="8"/>
  <c r="Y19" i="8"/>
  <c r="Y20" i="8"/>
  <c r="Y21" i="8"/>
  <c r="Y22" i="8"/>
  <c r="Y23" i="8"/>
  <c r="Y24" i="8"/>
  <c r="Y25" i="8"/>
  <c r="Y26" i="8"/>
  <c r="Y27" i="8"/>
  <c r="Y28" i="8"/>
  <c r="Y29" i="8"/>
  <c r="Y30" i="8"/>
  <c r="Y31" i="8"/>
  <c r="Y32" i="8"/>
  <c r="Y33" i="8"/>
  <c r="Y34" i="8"/>
  <c r="Y15" i="8"/>
  <c r="C41" i="17" l="1"/>
  <c r="C48" i="17" s="1"/>
  <c r="C49" i="17" s="1"/>
  <c r="O28" i="7"/>
  <c r="N31" i="7"/>
  <c r="N29" i="7"/>
  <c r="M25" i="7"/>
  <c r="C44" i="17" l="1"/>
  <c r="C52" i="17"/>
  <c r="C51" i="17"/>
  <c r="C53" i="17" s="1"/>
  <c r="C50" i="17"/>
  <c r="C54" i="17" s="1"/>
  <c r="C25" i="8"/>
  <c r="D25" i="8"/>
  <c r="E25" i="8"/>
  <c r="F25" i="8"/>
  <c r="G25" i="8"/>
  <c r="B25" i="8"/>
  <c r="V44" i="8" l="1"/>
  <c r="V48" i="8"/>
  <c r="V52" i="8"/>
  <c r="W59" i="8"/>
  <c r="V59" i="8"/>
  <c r="W58" i="8"/>
  <c r="V58" i="8"/>
  <c r="W57" i="8"/>
  <c r="V57" i="8"/>
  <c r="W56" i="8"/>
  <c r="V56" i="8"/>
  <c r="W41"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E49" i="8"/>
  <c r="E48" i="8"/>
  <c r="E47" i="8"/>
  <c r="E46" i="8"/>
  <c r="E45" i="8"/>
  <c r="E44" i="8"/>
  <c r="D49" i="8"/>
  <c r="D48" i="8"/>
  <c r="D47" i="8"/>
  <c r="D46" i="8"/>
  <c r="D45" i="8"/>
  <c r="D44" i="8"/>
  <c r="C49" i="8"/>
  <c r="C48" i="8"/>
  <c r="C47" i="8"/>
  <c r="C46" i="8"/>
  <c r="C45" i="8"/>
  <c r="C44" i="8"/>
  <c r="AE19" i="12"/>
  <c r="AI19" i="12"/>
  <c r="AE20" i="12"/>
  <c r="AE21" i="12"/>
  <c r="AE22" i="12"/>
  <c r="AE23" i="12"/>
  <c r="AI23" i="12"/>
  <c r="AE24" i="12"/>
  <c r="AE25" i="12"/>
  <c r="AE26" i="12"/>
  <c r="AG26" i="12"/>
  <c r="AE27" i="12"/>
  <c r="AE28" i="12"/>
  <c r="AE29" i="12"/>
  <c r="AE30" i="12"/>
  <c r="AG30" i="12"/>
  <c r="AE31" i="12"/>
  <c r="S57" i="8"/>
  <c r="S58" i="8"/>
  <c r="S59" i="8"/>
  <c r="S56" i="8"/>
  <c r="R57" i="8"/>
  <c r="R58" i="8"/>
  <c r="R59" i="8"/>
  <c r="R56" i="8"/>
  <c r="Q57" i="8"/>
  <c r="Q58" i="8"/>
  <c r="Q59" i="8"/>
  <c r="Q56" i="8"/>
  <c r="Y59" i="8"/>
  <c r="X59" i="8"/>
  <c r="U59" i="8"/>
  <c r="T59" i="8"/>
  <c r="P59" i="8"/>
  <c r="O59" i="8"/>
  <c r="Y58" i="8"/>
  <c r="X58" i="8"/>
  <c r="U58" i="8"/>
  <c r="T58" i="8"/>
  <c r="P58" i="8"/>
  <c r="O58" i="8"/>
  <c r="Y57" i="8"/>
  <c r="X57" i="8"/>
  <c r="U57" i="8"/>
  <c r="T57" i="8"/>
  <c r="P57" i="8"/>
  <c r="O57" i="8"/>
  <c r="Y56" i="8"/>
  <c r="X56" i="8"/>
  <c r="U56" i="8"/>
  <c r="T56" i="8"/>
  <c r="P56" i="8"/>
  <c r="O56" i="8"/>
  <c r="T55" i="8"/>
  <c r="O55" i="8"/>
  <c r="N55" i="8"/>
  <c r="Y55" i="8" s="1"/>
  <c r="M55" i="8"/>
  <c r="S55" i="8" s="1"/>
  <c r="T54" i="8"/>
  <c r="O54" i="8"/>
  <c r="N54" i="8"/>
  <c r="X54" i="8"/>
  <c r="M54" i="8"/>
  <c r="V54" i="8" s="1"/>
  <c r="T53" i="8"/>
  <c r="O53" i="8"/>
  <c r="N53" i="8"/>
  <c r="Y53" i="8" s="1"/>
  <c r="M53" i="8"/>
  <c r="T52" i="8"/>
  <c r="O52" i="8"/>
  <c r="N52" i="8"/>
  <c r="X52" i="8"/>
  <c r="M52" i="8"/>
  <c r="W52" i="8" s="1"/>
  <c r="S52" i="8"/>
  <c r="T51" i="8"/>
  <c r="O51" i="8"/>
  <c r="N51" i="8"/>
  <c r="P51" i="8" s="1"/>
  <c r="M51" i="8"/>
  <c r="V51" i="8" s="1"/>
  <c r="R51" i="8"/>
  <c r="T50" i="8"/>
  <c r="O50" i="8"/>
  <c r="N50" i="8"/>
  <c r="X50" i="8"/>
  <c r="M50" i="8"/>
  <c r="V50" i="8" s="1"/>
  <c r="T49" i="8"/>
  <c r="O49" i="8"/>
  <c r="N49" i="8"/>
  <c r="Y49" i="8"/>
  <c r="M49" i="8"/>
  <c r="V49" i="8" s="1"/>
  <c r="R49" i="8"/>
  <c r="T48" i="8"/>
  <c r="O48" i="8"/>
  <c r="N48" i="8"/>
  <c r="X48" i="8"/>
  <c r="M48" i="8"/>
  <c r="W48" i="8" s="1"/>
  <c r="S48" i="8"/>
  <c r="T47" i="8"/>
  <c r="O47" i="8"/>
  <c r="N47" i="8"/>
  <c r="Y47" i="8" s="1"/>
  <c r="M47" i="8"/>
  <c r="V47" i="8" s="1"/>
  <c r="R47" i="8"/>
  <c r="T46" i="8"/>
  <c r="O46" i="8"/>
  <c r="N46" i="8"/>
  <c r="X46" i="8"/>
  <c r="M46" i="8"/>
  <c r="V46" i="8" s="1"/>
  <c r="T45" i="8"/>
  <c r="O45" i="8"/>
  <c r="N45" i="8"/>
  <c r="Y45" i="8"/>
  <c r="M45" i="8"/>
  <c r="V45" i="8" s="1"/>
  <c r="S45" i="8"/>
  <c r="T44" i="8"/>
  <c r="O44" i="8"/>
  <c r="N44" i="8"/>
  <c r="X44" i="8"/>
  <c r="M44" i="8"/>
  <c r="W44" i="8" s="1"/>
  <c r="R44" i="8"/>
  <c r="T43" i="8"/>
  <c r="O43" i="8"/>
  <c r="N43" i="8"/>
  <c r="P43" i="8" s="1"/>
  <c r="M43" i="8"/>
  <c r="V43" i="8" s="1"/>
  <c r="Q43" i="8"/>
  <c r="T42" i="8"/>
  <c r="O42" i="8"/>
  <c r="N42" i="8"/>
  <c r="X42" i="8"/>
  <c r="M42" i="8"/>
  <c r="Q42" i="8" s="1"/>
  <c r="T41" i="8"/>
  <c r="O41" i="8"/>
  <c r="N41" i="8"/>
  <c r="M41" i="8"/>
  <c r="V41" i="8" s="1"/>
  <c r="T40" i="8"/>
  <c r="O40" i="8"/>
  <c r="N40" i="8"/>
  <c r="X40" i="8" s="1"/>
  <c r="M40" i="8"/>
  <c r="R40" i="8" s="1"/>
  <c r="AJ33" i="12"/>
  <c r="AJ34" i="12"/>
  <c r="AJ35" i="12"/>
  <c r="AJ32" i="12"/>
  <c r="AJ17" i="12"/>
  <c r="AI33" i="12"/>
  <c r="AI34" i="12"/>
  <c r="AI35" i="12"/>
  <c r="AI32" i="12"/>
  <c r="AH33" i="12"/>
  <c r="AH34" i="12"/>
  <c r="AH35" i="12"/>
  <c r="AH32" i="12"/>
  <c r="AG33" i="12"/>
  <c r="AG34" i="12"/>
  <c r="AG35" i="12"/>
  <c r="AG32" i="12"/>
  <c r="AF17" i="12"/>
  <c r="AF32" i="12"/>
  <c r="AF33" i="12"/>
  <c r="AF34" i="12"/>
  <c r="AF35" i="12"/>
  <c r="AE17" i="12"/>
  <c r="AE18" i="12"/>
  <c r="AE32" i="12"/>
  <c r="AE33" i="12"/>
  <c r="AE34" i="12"/>
  <c r="AE35" i="12"/>
  <c r="AE16" i="12"/>
  <c r="Q53" i="8"/>
  <c r="V53" i="8"/>
  <c r="W53" i="8"/>
  <c r="Q48" i="8"/>
  <c r="R50" i="8"/>
  <c r="S51" i="8"/>
  <c r="Q52" i="8"/>
  <c r="S47" i="8"/>
  <c r="R52" i="8"/>
  <c r="R48" i="8"/>
  <c r="S54" i="8"/>
  <c r="S49" i="8"/>
  <c r="S44" i="8"/>
  <c r="Y46" i="8"/>
  <c r="Y48" i="8"/>
  <c r="Y50" i="8"/>
  <c r="Y52" i="8"/>
  <c r="Y54" i="8"/>
  <c r="U46" i="8"/>
  <c r="U48" i="8"/>
  <c r="U50" i="8"/>
  <c r="U52" i="8"/>
  <c r="U54" i="8"/>
  <c r="Q41" i="8"/>
  <c r="Q54" i="8"/>
  <c r="Q51" i="8"/>
  <c r="Q49" i="8"/>
  <c r="Q47" i="8"/>
  <c r="Q45" i="8"/>
  <c r="R46" i="8"/>
  <c r="R53" i="8"/>
  <c r="S53" i="8"/>
  <c r="R45" i="8"/>
  <c r="Y44" i="8"/>
  <c r="U44" i="8"/>
  <c r="Q44" i="8"/>
  <c r="R43" i="8"/>
  <c r="S43" i="8"/>
  <c r="U42" i="8"/>
  <c r="U40" i="8"/>
  <c r="Q40" i="8"/>
  <c r="Y40" i="8"/>
  <c r="Y42" i="8"/>
  <c r="R42" i="8"/>
  <c r="Y41" i="8"/>
  <c r="U41" i="8"/>
  <c r="X41" i="8"/>
  <c r="P41" i="8"/>
  <c r="P45" i="8"/>
  <c r="X45" i="8"/>
  <c r="P49" i="8"/>
  <c r="X49" i="8"/>
  <c r="P53" i="8"/>
  <c r="X53" i="8"/>
  <c r="P55" i="8"/>
  <c r="X55" i="8"/>
  <c r="P40" i="8"/>
  <c r="P42" i="8"/>
  <c r="P44" i="8"/>
  <c r="U45" i="8"/>
  <c r="P46" i="8"/>
  <c r="P48" i="8"/>
  <c r="U49" i="8"/>
  <c r="P50" i="8"/>
  <c r="P52" i="8"/>
  <c r="U53" i="8"/>
  <c r="P54" i="8"/>
  <c r="U55" i="8"/>
  <c r="V35" i="12"/>
  <c r="U35" i="12"/>
  <c r="T35" i="12"/>
  <c r="S35" i="12"/>
  <c r="R35" i="12"/>
  <c r="Q35" i="12"/>
  <c r="P35" i="12"/>
  <c r="O35" i="12"/>
  <c r="V34" i="12"/>
  <c r="U34" i="12"/>
  <c r="T34" i="12"/>
  <c r="S34" i="12"/>
  <c r="R34" i="12"/>
  <c r="Q34" i="12"/>
  <c r="P34" i="12"/>
  <c r="O34" i="12"/>
  <c r="V33" i="12"/>
  <c r="U33" i="12"/>
  <c r="T33" i="12"/>
  <c r="S33" i="12"/>
  <c r="R33" i="12"/>
  <c r="Q33" i="12"/>
  <c r="P33" i="12"/>
  <c r="O33" i="12"/>
  <c r="V32" i="12"/>
  <c r="U32" i="12"/>
  <c r="T32" i="12"/>
  <c r="S32" i="12"/>
  <c r="R32" i="12"/>
  <c r="Q32" i="12"/>
  <c r="P32" i="12"/>
  <c r="O32" i="12"/>
  <c r="AD31" i="12"/>
  <c r="AC31" i="12"/>
  <c r="AG31" i="12" s="1"/>
  <c r="V31" i="12"/>
  <c r="U31" i="12"/>
  <c r="T31" i="12"/>
  <c r="S31" i="12"/>
  <c r="R31" i="12"/>
  <c r="Q31" i="12"/>
  <c r="P31" i="12"/>
  <c r="O31" i="12"/>
  <c r="AD30" i="12"/>
  <c r="AJ30" i="12" s="1"/>
  <c r="AC30" i="12"/>
  <c r="AH30" i="12" s="1"/>
  <c r="V30" i="12"/>
  <c r="U30" i="12"/>
  <c r="T30" i="12"/>
  <c r="S30" i="12"/>
  <c r="R30" i="12"/>
  <c r="Q30" i="12"/>
  <c r="P30" i="12"/>
  <c r="O30" i="12"/>
  <c r="AD29" i="12"/>
  <c r="AJ29" i="12" s="1"/>
  <c r="AC29" i="12"/>
  <c r="AG29" i="12" s="1"/>
  <c r="V29" i="12"/>
  <c r="U29" i="12"/>
  <c r="T29" i="12"/>
  <c r="S29" i="12"/>
  <c r="R29" i="12"/>
  <c r="Q29" i="12"/>
  <c r="P29" i="12"/>
  <c r="O29" i="12"/>
  <c r="AD28" i="12"/>
  <c r="AJ28" i="12" s="1"/>
  <c r="AC28" i="12"/>
  <c r="AG28" i="12" s="1"/>
  <c r="V28" i="12"/>
  <c r="U28" i="12"/>
  <c r="T28" i="12"/>
  <c r="S28" i="12"/>
  <c r="R28" i="12"/>
  <c r="Q28" i="12"/>
  <c r="P28" i="12"/>
  <c r="O28" i="12"/>
  <c r="AD27" i="12"/>
  <c r="AC27" i="12"/>
  <c r="V27" i="12"/>
  <c r="U27" i="12"/>
  <c r="T27" i="12"/>
  <c r="S27" i="12"/>
  <c r="R27" i="12"/>
  <c r="Q27" i="12"/>
  <c r="P27" i="12"/>
  <c r="O27" i="12"/>
  <c r="AD26" i="12"/>
  <c r="AJ26" i="12" s="1"/>
  <c r="AC26" i="12"/>
  <c r="AH26" i="12" s="1"/>
  <c r="V26" i="12"/>
  <c r="U26" i="12"/>
  <c r="T26" i="12"/>
  <c r="S26" i="12"/>
  <c r="R26" i="12"/>
  <c r="Q26" i="12"/>
  <c r="P26" i="12"/>
  <c r="O26" i="12"/>
  <c r="G26" i="12"/>
  <c r="G28" i="12" s="1"/>
  <c r="F26" i="12"/>
  <c r="F28" i="12" s="1"/>
  <c r="E26" i="12"/>
  <c r="E28" i="12" s="1"/>
  <c r="D26" i="12"/>
  <c r="C26" i="12"/>
  <c r="B26" i="12"/>
  <c r="AD25" i="12"/>
  <c r="AJ25" i="12" s="1"/>
  <c r="AC25" i="12"/>
  <c r="AG25" i="12" s="1"/>
  <c r="V25" i="12"/>
  <c r="U25" i="12"/>
  <c r="T25" i="12"/>
  <c r="S25" i="12"/>
  <c r="R25" i="12"/>
  <c r="Q25" i="12"/>
  <c r="P25" i="12"/>
  <c r="O25" i="12"/>
  <c r="AD24" i="12"/>
  <c r="AJ24" i="12" s="1"/>
  <c r="AC24" i="12"/>
  <c r="AG24" i="12" s="1"/>
  <c r="V24" i="12"/>
  <c r="U24" i="12"/>
  <c r="T24" i="12"/>
  <c r="S24" i="12"/>
  <c r="R24" i="12"/>
  <c r="Q24" i="12"/>
  <c r="P24" i="12"/>
  <c r="O24" i="12"/>
  <c r="AD23" i="12"/>
  <c r="AC23" i="12"/>
  <c r="AG23" i="12" s="1"/>
  <c r="V23" i="12"/>
  <c r="U23" i="12"/>
  <c r="T23" i="12"/>
  <c r="S23" i="12"/>
  <c r="R23" i="12"/>
  <c r="Q23" i="12"/>
  <c r="P23" i="12"/>
  <c r="O23" i="12"/>
  <c r="AD22" i="12"/>
  <c r="AC22" i="12"/>
  <c r="V22" i="12"/>
  <c r="U22" i="12"/>
  <c r="T22" i="12"/>
  <c r="S22" i="12"/>
  <c r="R22" i="12"/>
  <c r="Q22" i="12"/>
  <c r="P22" i="12"/>
  <c r="O22" i="12"/>
  <c r="AD21" i="12"/>
  <c r="AJ21" i="12" s="1"/>
  <c r="AC21" i="12"/>
  <c r="AG21" i="12" s="1"/>
  <c r="V21" i="12"/>
  <c r="U21" i="12"/>
  <c r="T21" i="12"/>
  <c r="S21" i="12"/>
  <c r="R21" i="12"/>
  <c r="Q21" i="12"/>
  <c r="P21" i="12"/>
  <c r="O21" i="12"/>
  <c r="AD20" i="12"/>
  <c r="AJ20" i="12" s="1"/>
  <c r="AC20" i="12"/>
  <c r="AG20" i="12" s="1"/>
  <c r="V20" i="12"/>
  <c r="U20" i="12"/>
  <c r="T20" i="12"/>
  <c r="S20" i="12"/>
  <c r="R20" i="12"/>
  <c r="Q20" i="12"/>
  <c r="P20" i="12"/>
  <c r="O20" i="12"/>
  <c r="AD19" i="12"/>
  <c r="AC19" i="12"/>
  <c r="AG19" i="12" s="1"/>
  <c r="V19" i="12"/>
  <c r="U19" i="12"/>
  <c r="T19" i="12"/>
  <c r="S19" i="12"/>
  <c r="R19" i="12"/>
  <c r="Q19" i="12"/>
  <c r="P19" i="12"/>
  <c r="O19" i="12"/>
  <c r="E19" i="12"/>
  <c r="D19" i="12"/>
  <c r="C19" i="12"/>
  <c r="AD18" i="12"/>
  <c r="AC18" i="12"/>
  <c r="AI18" i="12" s="1"/>
  <c r="V18" i="12"/>
  <c r="U18" i="12"/>
  <c r="T18" i="12"/>
  <c r="S18" i="12"/>
  <c r="R18" i="12"/>
  <c r="Q18" i="12"/>
  <c r="P18" i="12"/>
  <c r="O18" i="12"/>
  <c r="H18" i="12"/>
  <c r="G18" i="12"/>
  <c r="F18" i="12"/>
  <c r="E18" i="12"/>
  <c r="D18" i="12"/>
  <c r="C18" i="12"/>
  <c r="AD17" i="12"/>
  <c r="AC17" i="12"/>
  <c r="AI17" i="12" s="1"/>
  <c r="V17" i="12"/>
  <c r="U17" i="12"/>
  <c r="T17" i="12"/>
  <c r="S17" i="12"/>
  <c r="R17" i="12"/>
  <c r="Q17" i="12"/>
  <c r="P17" i="12"/>
  <c r="O17" i="12"/>
  <c r="H17" i="12"/>
  <c r="G17" i="12"/>
  <c r="F17" i="12"/>
  <c r="E17" i="12"/>
  <c r="D17" i="12"/>
  <c r="C17" i="12"/>
  <c r="AD16" i="12"/>
  <c r="AF16" i="12" s="1"/>
  <c r="AC16" i="12"/>
  <c r="AI16" i="12" s="1"/>
  <c r="V16" i="12"/>
  <c r="U16" i="12"/>
  <c r="T16" i="12"/>
  <c r="S16" i="12"/>
  <c r="R16" i="12"/>
  <c r="Q16" i="12"/>
  <c r="P16" i="12"/>
  <c r="O16" i="12"/>
  <c r="H16" i="12"/>
  <c r="G16" i="12"/>
  <c r="F16" i="12"/>
  <c r="E16" i="12"/>
  <c r="D16" i="12"/>
  <c r="C16" i="12"/>
  <c r="H123" i="6"/>
  <c r="Q126" i="3"/>
  <c r="U16" i="8"/>
  <c r="U17" i="8"/>
  <c r="U18" i="8"/>
  <c r="U19" i="8"/>
  <c r="U20" i="8"/>
  <c r="U21" i="8"/>
  <c r="U22" i="8"/>
  <c r="U23" i="8"/>
  <c r="U24" i="8"/>
  <c r="U25" i="8"/>
  <c r="U26" i="8"/>
  <c r="U27" i="8"/>
  <c r="U28" i="8"/>
  <c r="U29" i="8"/>
  <c r="U30" i="8"/>
  <c r="U31" i="8"/>
  <c r="U32" i="8"/>
  <c r="U33" i="8"/>
  <c r="U34" i="8"/>
  <c r="U15" i="8"/>
  <c r="T16" i="8"/>
  <c r="T17" i="8"/>
  <c r="T18" i="8"/>
  <c r="T19" i="8"/>
  <c r="T20" i="8"/>
  <c r="T21" i="8"/>
  <c r="T22" i="8"/>
  <c r="T23" i="8"/>
  <c r="T24" i="8"/>
  <c r="T25" i="8"/>
  <c r="T26" i="8"/>
  <c r="T27" i="8"/>
  <c r="T28" i="8"/>
  <c r="T29" i="8"/>
  <c r="T30" i="8"/>
  <c r="T31" i="8"/>
  <c r="T32" i="8"/>
  <c r="T33" i="8"/>
  <c r="T34" i="8"/>
  <c r="T15" i="8"/>
  <c r="S16" i="8"/>
  <c r="S17" i="8"/>
  <c r="S18" i="8"/>
  <c r="S19" i="8"/>
  <c r="S20" i="8"/>
  <c r="S21" i="8"/>
  <c r="S22" i="8"/>
  <c r="S23" i="8"/>
  <c r="S24" i="8"/>
  <c r="S25" i="8"/>
  <c r="S26" i="8"/>
  <c r="S27" i="8"/>
  <c r="S28" i="8"/>
  <c r="S29" i="8"/>
  <c r="S30" i="8"/>
  <c r="S31" i="8"/>
  <c r="S32" i="8"/>
  <c r="S33" i="8"/>
  <c r="S34" i="8"/>
  <c r="S15" i="8"/>
  <c r="R16" i="8"/>
  <c r="R17" i="8"/>
  <c r="R18" i="8"/>
  <c r="R19" i="8"/>
  <c r="R20" i="8"/>
  <c r="R21" i="8"/>
  <c r="R22" i="8"/>
  <c r="R23" i="8"/>
  <c r="R24" i="8"/>
  <c r="R25" i="8"/>
  <c r="R26" i="8"/>
  <c r="R27" i="8"/>
  <c r="R28" i="8"/>
  <c r="R29" i="8"/>
  <c r="R30" i="8"/>
  <c r="R31" i="8"/>
  <c r="R32" i="8"/>
  <c r="R33" i="8"/>
  <c r="R34" i="8"/>
  <c r="R15" i="8"/>
  <c r="Q16" i="8"/>
  <c r="Q17" i="8"/>
  <c r="Q18" i="8"/>
  <c r="Q19" i="8"/>
  <c r="Q20" i="8"/>
  <c r="Q21" i="8"/>
  <c r="Q22" i="8"/>
  <c r="Q23" i="8"/>
  <c r="Q24" i="8"/>
  <c r="Q25" i="8"/>
  <c r="Q26" i="8"/>
  <c r="Q27" i="8"/>
  <c r="Q28" i="8"/>
  <c r="Q29" i="8"/>
  <c r="Q30" i="8"/>
  <c r="Q31" i="8"/>
  <c r="Q32" i="8"/>
  <c r="Q33" i="8"/>
  <c r="Q34" i="8"/>
  <c r="Q15" i="8"/>
  <c r="P16" i="8"/>
  <c r="P17" i="8"/>
  <c r="P18" i="8"/>
  <c r="P19" i="8"/>
  <c r="P20" i="8"/>
  <c r="P21" i="8"/>
  <c r="P22" i="8"/>
  <c r="P23" i="8"/>
  <c r="P24" i="8"/>
  <c r="P25" i="8"/>
  <c r="P26" i="8"/>
  <c r="P27" i="8"/>
  <c r="P28" i="8"/>
  <c r="P29" i="8"/>
  <c r="P30" i="8"/>
  <c r="P31" i="8"/>
  <c r="P32" i="8"/>
  <c r="P33" i="8"/>
  <c r="P34" i="8"/>
  <c r="P15" i="8"/>
  <c r="O16" i="8"/>
  <c r="O17" i="8"/>
  <c r="O18" i="8"/>
  <c r="O19" i="8"/>
  <c r="O20" i="8"/>
  <c r="O21" i="8"/>
  <c r="O22" i="8"/>
  <c r="O23" i="8"/>
  <c r="O24" i="8"/>
  <c r="O25" i="8"/>
  <c r="O26" i="8"/>
  <c r="O27" i="8"/>
  <c r="O28" i="8"/>
  <c r="O29" i="8"/>
  <c r="O30" i="8"/>
  <c r="O31" i="8"/>
  <c r="O32" i="8"/>
  <c r="O33" i="8"/>
  <c r="O34" i="8"/>
  <c r="O15" i="8"/>
  <c r="D12" i="7"/>
  <c r="G9" i="7" s="1"/>
  <c r="G15" i="7" s="1"/>
  <c r="F13" i="5"/>
  <c r="F10" i="5"/>
  <c r="M123" i="6"/>
  <c r="B127" i="10"/>
  <c r="B126" i="10" s="1"/>
  <c r="B125" i="10" s="1"/>
  <c r="Z124" i="10"/>
  <c r="Z123" i="10"/>
  <c r="V123" i="10"/>
  <c r="Z122" i="10"/>
  <c r="V122" i="10"/>
  <c r="N122" i="10"/>
  <c r="Z121" i="10"/>
  <c r="Z120" i="10"/>
  <c r="Z119" i="10"/>
  <c r="Z118" i="10"/>
  <c r="Z117" i="10"/>
  <c r="Z116" i="10"/>
  <c r="Z115" i="10"/>
  <c r="Z114" i="10"/>
  <c r="Z113" i="10"/>
  <c r="Z112" i="10"/>
  <c r="Z111" i="10"/>
  <c r="Z110" i="10"/>
  <c r="Z109" i="10"/>
  <c r="Z108" i="10"/>
  <c r="Z107" i="10"/>
  <c r="Z106" i="10"/>
  <c r="Z105" i="10"/>
  <c r="Z104" i="10"/>
  <c r="Z103" i="10"/>
  <c r="Z102" i="10"/>
  <c r="Z101" i="10"/>
  <c r="Z100" i="10"/>
  <c r="Z99" i="10"/>
  <c r="Z98" i="10"/>
  <c r="Z97" i="10"/>
  <c r="Z96" i="10"/>
  <c r="Z95" i="10"/>
  <c r="Z94" i="10"/>
  <c r="Z93" i="10"/>
  <c r="Z92" i="10"/>
  <c r="Z91" i="10"/>
  <c r="Z90" i="10"/>
  <c r="Z89" i="10"/>
  <c r="Z88" i="10"/>
  <c r="Z87" i="10"/>
  <c r="Z86" i="10"/>
  <c r="Z85" i="10"/>
  <c r="Z84" i="10"/>
  <c r="Z83" i="10"/>
  <c r="Z82" i="10"/>
  <c r="Z81" i="10"/>
  <c r="Z80" i="10"/>
  <c r="Z79" i="10"/>
  <c r="Z78" i="10"/>
  <c r="Z77" i="10"/>
  <c r="Z76" i="10"/>
  <c r="Z75" i="10"/>
  <c r="Z74" i="10"/>
  <c r="Z73" i="10"/>
  <c r="Z72" i="10"/>
  <c r="Z71" i="10"/>
  <c r="Z70" i="10"/>
  <c r="Z69" i="10"/>
  <c r="Z68" i="10"/>
  <c r="Z67" i="10"/>
  <c r="Z66" i="10"/>
  <c r="Z65" i="10"/>
  <c r="Z64" i="10"/>
  <c r="Z63" i="10"/>
  <c r="Z62" i="10"/>
  <c r="Z61" i="10"/>
  <c r="Z60" i="10"/>
  <c r="Z59" i="10"/>
  <c r="Z58" i="10"/>
  <c r="Z57" i="10"/>
  <c r="Z56" i="10"/>
  <c r="Z55" i="10"/>
  <c r="Z54" i="10"/>
  <c r="Z53" i="10"/>
  <c r="Z52" i="10"/>
  <c r="Z51" i="10"/>
  <c r="Z50" i="10"/>
  <c r="Z49" i="10"/>
  <c r="Z48" i="10"/>
  <c r="Z47" i="10"/>
  <c r="Z46" i="10"/>
  <c r="Z45" i="10"/>
  <c r="Z44" i="10"/>
  <c r="Z43" i="10"/>
  <c r="Z42" i="10"/>
  <c r="Z41" i="10"/>
  <c r="Z40" i="10"/>
  <c r="Z39" i="10"/>
  <c r="Z38" i="10"/>
  <c r="Z37" i="10"/>
  <c r="Z36" i="10"/>
  <c r="Z35" i="10"/>
  <c r="Z34" i="10"/>
  <c r="Z33" i="10"/>
  <c r="Z32" i="10"/>
  <c r="Z31" i="10"/>
  <c r="Z30" i="10"/>
  <c r="Z29" i="10"/>
  <c r="Z28" i="10"/>
  <c r="Z27" i="10"/>
  <c r="I27" i="10"/>
  <c r="I28" i="10"/>
  <c r="I29" i="10"/>
  <c r="I30" i="10" s="1"/>
  <c r="I31" i="10" s="1"/>
  <c r="I32" i="10" s="1"/>
  <c r="I33" i="10" s="1"/>
  <c r="I34" i="10" s="1"/>
  <c r="I35" i="10" s="1"/>
  <c r="I36" i="10" s="1"/>
  <c r="I37" i="10" s="1"/>
  <c r="I38" i="10" s="1"/>
  <c r="I39" i="10" s="1"/>
  <c r="I40" i="10" s="1"/>
  <c r="I41" i="10" s="1"/>
  <c r="I42" i="10" s="1"/>
  <c r="I43" i="10" s="1"/>
  <c r="I44" i="10" s="1"/>
  <c r="I45" i="10" s="1"/>
  <c r="I46" i="10" s="1"/>
  <c r="I47" i="10" s="1"/>
  <c r="I48" i="10" s="1"/>
  <c r="I49" i="10" s="1"/>
  <c r="I50" i="10" s="1"/>
  <c r="I51" i="10" s="1"/>
  <c r="I52" i="10" s="1"/>
  <c r="I53" i="10" s="1"/>
  <c r="I54" i="10" s="1"/>
  <c r="I55" i="10" s="1"/>
  <c r="I56" i="10" s="1"/>
  <c r="I57" i="10" s="1"/>
  <c r="I58" i="10" s="1"/>
  <c r="I59" i="10" s="1"/>
  <c r="I60" i="10" s="1"/>
  <c r="I61" i="10" s="1"/>
  <c r="I62" i="10" s="1"/>
  <c r="I63" i="10" s="1"/>
  <c r="I64" i="10" s="1"/>
  <c r="I65" i="10" s="1"/>
  <c r="I66" i="10" s="1"/>
  <c r="I67" i="10" s="1"/>
  <c r="I68" i="10" s="1"/>
  <c r="I69" i="10" s="1"/>
  <c r="I70" i="10" s="1"/>
  <c r="I71" i="10" s="1"/>
  <c r="I72" i="10" s="1"/>
  <c r="I73" i="10" s="1"/>
  <c r="I74" i="10" s="1"/>
  <c r="I75" i="10" s="1"/>
  <c r="I76" i="10" s="1"/>
  <c r="I77" i="10" s="1"/>
  <c r="I78" i="10" s="1"/>
  <c r="I79" i="10" s="1"/>
  <c r="I80" i="10" s="1"/>
  <c r="I81" i="10" s="1"/>
  <c r="I82" i="10" s="1"/>
  <c r="I83" i="10" s="1"/>
  <c r="I84" i="10" s="1"/>
  <c r="I85" i="10" s="1"/>
  <c r="I86" i="10" s="1"/>
  <c r="I87" i="10" s="1"/>
  <c r="I88" i="10" s="1"/>
  <c r="I89" i="10" s="1"/>
  <c r="I90" i="10" s="1"/>
  <c r="I91" i="10" s="1"/>
  <c r="I92" i="10" s="1"/>
  <c r="I93" i="10" s="1"/>
  <c r="I94" i="10" s="1"/>
  <c r="I95" i="10" s="1"/>
  <c r="I96" i="10" s="1"/>
  <c r="I97" i="10" s="1"/>
  <c r="I98" i="10" s="1"/>
  <c r="I99" i="10" s="1"/>
  <c r="I100" i="10" s="1"/>
  <c r="I101" i="10" s="1"/>
  <c r="I102" i="10" s="1"/>
  <c r="I103" i="10" s="1"/>
  <c r="I104" i="10" s="1"/>
  <c r="I105" i="10" s="1"/>
  <c r="I106" i="10" s="1"/>
  <c r="I107" i="10" s="1"/>
  <c r="I108" i="10" s="1"/>
  <c r="I109" i="10" s="1"/>
  <c r="I110" i="10" s="1"/>
  <c r="I111" i="10" s="1"/>
  <c r="I112" i="10" s="1"/>
  <c r="I113" i="10" s="1"/>
  <c r="I114" i="10" s="1"/>
  <c r="I115" i="10" s="1"/>
  <c r="I116" i="10" s="1"/>
  <c r="I117" i="10" s="1"/>
  <c r="I118" i="10" s="1"/>
  <c r="I119" i="10" s="1"/>
  <c r="I120" i="10" s="1"/>
  <c r="I121" i="10" s="1"/>
  <c r="I122" i="10" s="1"/>
  <c r="I123" i="10" s="1"/>
  <c r="I124" i="10" s="1"/>
  <c r="F27" i="10"/>
  <c r="F28" i="10" s="1"/>
  <c r="F29" i="10" s="1"/>
  <c r="F30" i="10"/>
  <c r="F31" i="10" s="1"/>
  <c r="F32" i="10" s="1"/>
  <c r="F33" i="10" s="1"/>
  <c r="F34" i="10" s="1"/>
  <c r="F35" i="10"/>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F114" i="10" s="1"/>
  <c r="F115" i="10" s="1"/>
  <c r="F116" i="10" s="1"/>
  <c r="F117" i="10" s="1"/>
  <c r="F118" i="10" s="1"/>
  <c r="F119" i="10" s="1"/>
  <c r="F120" i="10" s="1"/>
  <c r="F121" i="10" s="1"/>
  <c r="F122" i="10" s="1"/>
  <c r="F123" i="10" s="1"/>
  <c r="F124" i="10" s="1"/>
  <c r="J26" i="10"/>
  <c r="C26" i="10"/>
  <c r="A26" i="10"/>
  <c r="N17" i="10"/>
  <c r="N16" i="10"/>
  <c r="N13" i="10"/>
  <c r="L10" i="10"/>
  <c r="L8" i="10"/>
  <c r="F37" i="8"/>
  <c r="E37" i="8"/>
  <c r="D37" i="8"/>
  <c r="C37" i="8"/>
  <c r="F36" i="8"/>
  <c r="E36" i="8"/>
  <c r="D36" i="8"/>
  <c r="C36" i="8"/>
  <c r="F35" i="8"/>
  <c r="E35" i="8"/>
  <c r="D35" i="8"/>
  <c r="C35" i="8"/>
  <c r="F34" i="8"/>
  <c r="E34" i="8"/>
  <c r="D34" i="8"/>
  <c r="C34" i="8"/>
  <c r="F33" i="8"/>
  <c r="E33" i="8"/>
  <c r="D33" i="8"/>
  <c r="C33" i="8"/>
  <c r="F32" i="8"/>
  <c r="E32" i="8"/>
  <c r="D32" i="8"/>
  <c r="C32" i="8"/>
  <c r="O21" i="10"/>
  <c r="L9" i="10"/>
  <c r="O22" i="10"/>
  <c r="A27" i="10"/>
  <c r="AD26" i="10"/>
  <c r="A28" i="10"/>
  <c r="A29" i="10" s="1"/>
  <c r="AD27" i="10"/>
  <c r="AD28" i="10"/>
  <c r="G22" i="8"/>
  <c r="G24" i="8" s="1"/>
  <c r="F22" i="8"/>
  <c r="F24" i="8" s="1"/>
  <c r="E22" i="8"/>
  <c r="E24" i="8" s="1"/>
  <c r="D22" i="8"/>
  <c r="C22" i="8"/>
  <c r="B22" i="8"/>
  <c r="E18" i="8"/>
  <c r="D18" i="8"/>
  <c r="C18" i="8"/>
  <c r="H17" i="8"/>
  <c r="G17" i="8"/>
  <c r="F17" i="8"/>
  <c r="E17" i="8"/>
  <c r="D17" i="8"/>
  <c r="C17" i="8"/>
  <c r="H16" i="8"/>
  <c r="G16" i="8"/>
  <c r="F16" i="8"/>
  <c r="E16" i="8"/>
  <c r="D16" i="8"/>
  <c r="C16" i="8"/>
  <c r="H15" i="8"/>
  <c r="G15" i="8"/>
  <c r="F15" i="8"/>
  <c r="E15" i="8"/>
  <c r="D15" i="8"/>
  <c r="C15" i="8"/>
  <c r="U14" i="5"/>
  <c r="U15" i="5"/>
  <c r="T14" i="5"/>
  <c r="T15" i="5" s="1"/>
  <c r="O120" i="5"/>
  <c r="R119" i="5"/>
  <c r="O119" i="5"/>
  <c r="P119" i="5" s="1"/>
  <c r="Q118" i="5"/>
  <c r="Q117" i="5"/>
  <c r="Q116"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F21" i="5"/>
  <c r="A21" i="5"/>
  <c r="A22" i="5" s="1"/>
  <c r="U22" i="5" s="1"/>
  <c r="C21" i="5"/>
  <c r="K8" i="5"/>
  <c r="K9" i="5" s="1"/>
  <c r="U21" i="5"/>
  <c r="A23" i="5"/>
  <c r="R16" i="3"/>
  <c r="R15" i="3"/>
  <c r="G10" i="7"/>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I26" i="6"/>
  <c r="I27" i="6"/>
  <c r="I28" i="6" s="1"/>
  <c r="G26" i="6"/>
  <c r="G27" i="6"/>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J25" i="6"/>
  <c r="C25" i="6"/>
  <c r="E25" i="6" s="1"/>
  <c r="F25" i="6" s="1"/>
  <c r="A25" i="6"/>
  <c r="A26" i="6"/>
  <c r="L10" i="6"/>
  <c r="N10" i="6"/>
  <c r="L8" i="6"/>
  <c r="L9" i="6" s="1"/>
  <c r="B127" i="3"/>
  <c r="B126" i="3" s="1"/>
  <c r="X125" i="3"/>
  <c r="X124" i="3"/>
  <c r="X123" i="3"/>
  <c r="X122" i="3"/>
  <c r="X121" i="3"/>
  <c r="X120" i="3"/>
  <c r="X119" i="3"/>
  <c r="X118" i="3"/>
  <c r="X117" i="3"/>
  <c r="X116" i="3"/>
  <c r="X115" i="3"/>
  <c r="X114" i="3"/>
  <c r="X113" i="3"/>
  <c r="X112" i="3"/>
  <c r="X111" i="3"/>
  <c r="X110" i="3"/>
  <c r="X109" i="3"/>
  <c r="X108" i="3"/>
  <c r="X107" i="3"/>
  <c r="X106" i="3"/>
  <c r="X105" i="3"/>
  <c r="X104" i="3"/>
  <c r="X103" i="3"/>
  <c r="X102" i="3"/>
  <c r="X101" i="3"/>
  <c r="X100" i="3"/>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J26" i="3"/>
  <c r="J27" i="3" s="1"/>
  <c r="J28" i="3" s="1"/>
  <c r="J29" i="3" s="1"/>
  <c r="J30" i="3" s="1"/>
  <c r="J31" i="3" s="1"/>
  <c r="J32" i="3" s="1"/>
  <c r="J33" i="3" s="1"/>
  <c r="J34" i="3" s="1"/>
  <c r="J35" i="3" s="1"/>
  <c r="J36" i="3" s="1"/>
  <c r="J37" i="3" s="1"/>
  <c r="J38" i="3" s="1"/>
  <c r="J39" i="3" s="1"/>
  <c r="J40" i="3" s="1"/>
  <c r="J41" i="3" s="1"/>
  <c r="J42" i="3"/>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106" i="3" s="1"/>
  <c r="J107" i="3" s="1"/>
  <c r="J108" i="3" s="1"/>
  <c r="J109" i="3" s="1"/>
  <c r="J110" i="3" s="1"/>
  <c r="J111" i="3" s="1"/>
  <c r="J112" i="3" s="1"/>
  <c r="J113" i="3" s="1"/>
  <c r="J114" i="3" s="1"/>
  <c r="J115" i="3" s="1"/>
  <c r="J116" i="3" s="1"/>
  <c r="J117" i="3" s="1"/>
  <c r="J118" i="3" s="1"/>
  <c r="J119" i="3" s="1"/>
  <c r="J120" i="3" s="1"/>
  <c r="J121" i="3" s="1"/>
  <c r="J122" i="3" s="1"/>
  <c r="J123" i="3" s="1"/>
  <c r="J124" i="3" s="1"/>
  <c r="J125" i="3" s="1"/>
  <c r="F26" i="3"/>
  <c r="F27" i="3" s="1"/>
  <c r="F28" i="3" s="1"/>
  <c r="F29" i="3" s="1"/>
  <c r="F30" i="3"/>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F56" i="3" s="1"/>
  <c r="F57" i="3" s="1"/>
  <c r="F58" i="3" s="1"/>
  <c r="F59" i="3" s="1"/>
  <c r="F60" i="3" s="1"/>
  <c r="F61" i="3" s="1"/>
  <c r="F62" i="3" s="1"/>
  <c r="F63" i="3" s="1"/>
  <c r="F64" i="3" s="1"/>
  <c r="F65" i="3" s="1"/>
  <c r="F66" i="3" s="1"/>
  <c r="F67" i="3" s="1"/>
  <c r="F68" i="3" s="1"/>
  <c r="F69" i="3" s="1"/>
  <c r="F70" i="3" s="1"/>
  <c r="F71" i="3" s="1"/>
  <c r="F72" i="3" s="1"/>
  <c r="F73" i="3" s="1"/>
  <c r="F74" i="3" s="1"/>
  <c r="F75" i="3" s="1"/>
  <c r="F76" i="3" s="1"/>
  <c r="F77" i="3" s="1"/>
  <c r="F78" i="3" s="1"/>
  <c r="F79" i="3" s="1"/>
  <c r="F80" i="3" s="1"/>
  <c r="F81" i="3" s="1"/>
  <c r="F82" i="3" s="1"/>
  <c r="F83" i="3" s="1"/>
  <c r="F84" i="3" s="1"/>
  <c r="F85" i="3" s="1"/>
  <c r="F86" i="3" s="1"/>
  <c r="F87" i="3" s="1"/>
  <c r="F88" i="3" s="1"/>
  <c r="F89" i="3" s="1"/>
  <c r="F90" i="3" s="1"/>
  <c r="F91" i="3" s="1"/>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K25" i="3"/>
  <c r="C25" i="3"/>
  <c r="I25" i="3" s="1"/>
  <c r="A25" i="3"/>
  <c r="AF25" i="3" s="1"/>
  <c r="C26" i="3" s="1"/>
  <c r="A26" i="3"/>
  <c r="A27" i="3" s="1"/>
  <c r="N10" i="3"/>
  <c r="R10" i="3"/>
  <c r="N8" i="3"/>
  <c r="N9" i="3"/>
  <c r="O26" i="6"/>
  <c r="X25" i="6"/>
  <c r="C26" i="6" s="1"/>
  <c r="D26" i="6" s="1"/>
  <c r="X26" i="6"/>
  <c r="A27" i="6"/>
  <c r="A28" i="6" s="1"/>
  <c r="AH25" i="3"/>
  <c r="R11" i="3"/>
  <c r="L25" i="6"/>
  <c r="O27" i="6"/>
  <c r="D25" i="6"/>
  <c r="X27" i="6"/>
  <c r="E26" i="6"/>
  <c r="F26" i="6" s="1"/>
  <c r="R25" i="6"/>
  <c r="N11" i="10"/>
  <c r="N10" i="10"/>
  <c r="C27" i="10"/>
  <c r="H26" i="10"/>
  <c r="L26" i="10" s="1"/>
  <c r="O26" i="10"/>
  <c r="E27" i="10"/>
  <c r="H27" i="10"/>
  <c r="C28" i="10"/>
  <c r="H28" i="10" s="1"/>
  <c r="D27" i="10"/>
  <c r="C29" i="10"/>
  <c r="E28" i="10"/>
  <c r="E29" i="10" l="1"/>
  <c r="H29" i="10"/>
  <c r="D29" i="10"/>
  <c r="D28" i="10"/>
  <c r="I29" i="6"/>
  <c r="O28" i="6"/>
  <c r="E26" i="3"/>
  <c r="I26" i="3"/>
  <c r="D26" i="3"/>
  <c r="C27" i="3"/>
  <c r="U23" i="5"/>
  <c r="A24" i="5"/>
  <c r="C27" i="6"/>
  <c r="M25" i="3"/>
  <c r="AF26" i="3"/>
  <c r="X28" i="6"/>
  <c r="A29" i="6"/>
  <c r="AF27" i="3"/>
  <c r="A28" i="3"/>
  <c r="D25" i="3"/>
  <c r="E21" i="5"/>
  <c r="L21" i="5" s="1"/>
  <c r="H21" i="5"/>
  <c r="E25" i="3"/>
  <c r="AF26" i="10"/>
  <c r="D26" i="10"/>
  <c r="E26" i="10"/>
  <c r="F11" i="5"/>
  <c r="K10" i="5" s="1"/>
  <c r="AH22" i="12"/>
  <c r="AI22" i="12"/>
  <c r="AG22" i="12"/>
  <c r="AG27" i="12"/>
  <c r="AH27" i="12"/>
  <c r="AI27" i="12"/>
  <c r="A30" i="10"/>
  <c r="AD29" i="10"/>
  <c r="C30" i="10" s="1"/>
  <c r="AI31" i="12"/>
  <c r="AK22" i="12"/>
  <c r="AL22" i="12"/>
  <c r="AL27" i="12"/>
  <c r="AK27" i="12"/>
  <c r="AK31" i="12"/>
  <c r="AL31" i="12"/>
  <c r="X47" i="8"/>
  <c r="Q46" i="8"/>
  <c r="AH17" i="12"/>
  <c r="R54" i="8"/>
  <c r="R41" i="8"/>
  <c r="AH31" i="12"/>
  <c r="AF30" i="12"/>
  <c r="AF26" i="12"/>
  <c r="AH23" i="12"/>
  <c r="AF22" i="12"/>
  <c r="AH19" i="12"/>
  <c r="V42" i="8"/>
  <c r="W51" i="8"/>
  <c r="W47" i="8"/>
  <c r="W43" i="8"/>
  <c r="U47" i="8"/>
  <c r="P47" i="8"/>
  <c r="Q50" i="8"/>
  <c r="S40" i="8"/>
  <c r="S42" i="8"/>
  <c r="Y43" i="8"/>
  <c r="S46" i="8"/>
  <c r="S50" i="8"/>
  <c r="Y51" i="8"/>
  <c r="AI28" i="12"/>
  <c r="AI24" i="12"/>
  <c r="AI20" i="12"/>
  <c r="W42" i="8"/>
  <c r="AL19" i="12"/>
  <c r="AK19" i="12"/>
  <c r="AL23" i="12"/>
  <c r="AK23" i="12"/>
  <c r="AK28" i="12"/>
  <c r="AL28" i="12"/>
  <c r="Q55" i="8"/>
  <c r="V40" i="8"/>
  <c r="AG16" i="12"/>
  <c r="AF31" i="12"/>
  <c r="AH28" i="12"/>
  <c r="AF27" i="12"/>
  <c r="AH24" i="12"/>
  <c r="AF23" i="12"/>
  <c r="AH20" i="12"/>
  <c r="AF19" i="12"/>
  <c r="W55" i="8"/>
  <c r="W50" i="8"/>
  <c r="W46" i="8"/>
  <c r="W40" i="8"/>
  <c r="AG17" i="12"/>
  <c r="AH16" i="12"/>
  <c r="AI29" i="12"/>
  <c r="AI25" i="12"/>
  <c r="AI21" i="12"/>
  <c r="V55" i="8"/>
  <c r="AK20" i="12"/>
  <c r="AL20" i="12"/>
  <c r="AK24" i="12"/>
  <c r="AL24" i="12"/>
  <c r="AK29" i="12"/>
  <c r="AL29" i="12"/>
  <c r="X51" i="8"/>
  <c r="X43" i="8"/>
  <c r="R55" i="8"/>
  <c r="S41" i="8"/>
  <c r="AH29" i="12"/>
  <c r="AF28" i="12"/>
  <c r="AH25" i="12"/>
  <c r="AF24" i="12"/>
  <c r="AJ22" i="12"/>
  <c r="AH21" i="12"/>
  <c r="AF20" i="12"/>
  <c r="W54" i="8"/>
  <c r="W49" i="8"/>
  <c r="W45" i="8"/>
  <c r="AL16" i="12"/>
  <c r="AK16" i="12"/>
  <c r="AK17" i="12"/>
  <c r="AL17" i="12"/>
  <c r="AJ18" i="12"/>
  <c r="AK18" i="12"/>
  <c r="AL18" i="12"/>
  <c r="U51" i="8"/>
  <c r="U43" i="8"/>
  <c r="AJ16" i="12"/>
  <c r="AI30" i="12"/>
  <c r="AI26" i="12"/>
  <c r="AK21" i="12"/>
  <c r="AL21" i="12"/>
  <c r="AK25" i="12"/>
  <c r="AL25" i="12"/>
  <c r="AK26" i="12"/>
  <c r="AL26" i="12"/>
  <c r="AK30" i="12"/>
  <c r="AL30" i="12"/>
  <c r="AJ31" i="12"/>
  <c r="AF29" i="12"/>
  <c r="AJ27" i="12"/>
  <c r="AF25" i="12"/>
  <c r="AJ23" i="12"/>
  <c r="AF21" i="12"/>
  <c r="AJ19" i="12"/>
  <c r="G11" i="7"/>
  <c r="D17" i="7" s="1"/>
  <c r="G14" i="7" s="1"/>
  <c r="AH18" i="12"/>
  <c r="AG18" i="12"/>
  <c r="AF18" i="12"/>
  <c r="E30" i="10" l="1"/>
  <c r="D30" i="10"/>
  <c r="H30" i="10"/>
  <c r="M11" i="5"/>
  <c r="M10" i="5"/>
  <c r="D21" i="5"/>
  <c r="C22" i="5"/>
  <c r="N22" i="10"/>
  <c r="N21" i="10"/>
  <c r="M21" i="10"/>
  <c r="M22" i="10"/>
  <c r="X26" i="10"/>
  <c r="E27" i="6"/>
  <c r="F27" i="6" s="1"/>
  <c r="D27" i="6"/>
  <c r="C28" i="6"/>
  <c r="I30" i="6"/>
  <c r="O29" i="6"/>
  <c r="A25" i="5"/>
  <c r="U24" i="5"/>
  <c r="AF28" i="3"/>
  <c r="A29" i="3"/>
  <c r="R20" i="3"/>
  <c r="R21" i="3"/>
  <c r="O21" i="3"/>
  <c r="O20" i="3"/>
  <c r="AB25" i="3"/>
  <c r="E27" i="3"/>
  <c r="D27" i="3"/>
  <c r="C28" i="3"/>
  <c r="I27" i="3"/>
  <c r="X29" i="6"/>
  <c r="A30" i="6"/>
  <c r="AB26" i="3"/>
  <c r="A31" i="10"/>
  <c r="AD30" i="10"/>
  <c r="C31" i="10" s="1"/>
  <c r="D31" i="10" l="1"/>
  <c r="H31" i="10"/>
  <c r="E31" i="10"/>
  <c r="A31" i="6"/>
  <c r="X30" i="6"/>
  <c r="C23" i="5"/>
  <c r="D22" i="5"/>
  <c r="E22" i="5"/>
  <c r="E28" i="6"/>
  <c r="F28" i="6" s="1"/>
  <c r="D28" i="6"/>
  <c r="C29" i="6"/>
  <c r="I28" i="3"/>
  <c r="C29" i="3"/>
  <c r="D28" i="3"/>
  <c r="E28" i="3"/>
  <c r="A30" i="3"/>
  <c r="AF29" i="3"/>
  <c r="A26" i="5"/>
  <c r="U25" i="5"/>
  <c r="AB27" i="3"/>
  <c r="AD31" i="10"/>
  <c r="C32" i="10" s="1"/>
  <c r="A32" i="10"/>
  <c r="I31" i="6"/>
  <c r="O30" i="6"/>
  <c r="E32" i="10" l="1"/>
  <c r="H32" i="10"/>
  <c r="D32" i="10"/>
  <c r="I29" i="3"/>
  <c r="D29" i="3"/>
  <c r="C30" i="3"/>
  <c r="E29" i="3"/>
  <c r="AB29" i="3" s="1"/>
  <c r="I32" i="6"/>
  <c r="O31" i="6"/>
  <c r="E29" i="6"/>
  <c r="F29" i="6" s="1"/>
  <c r="D29" i="6"/>
  <c r="C30" i="6"/>
  <c r="X31" i="6"/>
  <c r="A32" i="6"/>
  <c r="A33" i="10"/>
  <c r="AD32" i="10"/>
  <c r="C33" i="10" s="1"/>
  <c r="D23" i="5"/>
  <c r="E23" i="5"/>
  <c r="C24" i="5"/>
  <c r="A27" i="5"/>
  <c r="U26" i="5"/>
  <c r="A31" i="3"/>
  <c r="AF30" i="3"/>
  <c r="AB28" i="3"/>
  <c r="H33" i="10" l="1"/>
  <c r="D33" i="10"/>
  <c r="E33" i="10"/>
  <c r="A33" i="6"/>
  <c r="X32" i="6"/>
  <c r="I30" i="3"/>
  <c r="E30" i="3"/>
  <c r="C31" i="3"/>
  <c r="D30" i="3"/>
  <c r="C31" i="6"/>
  <c r="D30" i="6"/>
  <c r="E30" i="6"/>
  <c r="F30" i="6" s="1"/>
  <c r="U27" i="5"/>
  <c r="A28" i="5"/>
  <c r="A34" i="10"/>
  <c r="AD33" i="10"/>
  <c r="C34" i="10" s="1"/>
  <c r="AF31" i="3"/>
  <c r="A32" i="3"/>
  <c r="D24" i="5"/>
  <c r="E24" i="5"/>
  <c r="C25" i="5"/>
  <c r="I33" i="6"/>
  <c r="O32" i="6"/>
  <c r="E34" i="10" l="1"/>
  <c r="H34" i="10"/>
  <c r="D34" i="10"/>
  <c r="X33" i="6"/>
  <c r="A34" i="6"/>
  <c r="C32" i="6"/>
  <c r="E31" i="6"/>
  <c r="F31" i="6" s="1"/>
  <c r="D31" i="6"/>
  <c r="D25" i="5"/>
  <c r="C26" i="5"/>
  <c r="E25" i="5"/>
  <c r="C32" i="3"/>
  <c r="I31" i="3"/>
  <c r="E31" i="3"/>
  <c r="D31" i="3"/>
  <c r="AB30" i="3"/>
  <c r="A29" i="5"/>
  <c r="U28" i="5"/>
  <c r="A33" i="3"/>
  <c r="AF32" i="3"/>
  <c r="A35" i="10"/>
  <c r="AD34" i="10"/>
  <c r="C35" i="10" s="1"/>
  <c r="I34" i="6"/>
  <c r="O33" i="6"/>
  <c r="E35" i="10" l="1"/>
  <c r="H35" i="10"/>
  <c r="D35" i="10"/>
  <c r="AD35" i="10"/>
  <c r="C36" i="10" s="1"/>
  <c r="A36" i="10"/>
  <c r="U29" i="5"/>
  <c r="A30" i="5"/>
  <c r="X34" i="6"/>
  <c r="A35" i="6"/>
  <c r="C27" i="5"/>
  <c r="D26" i="5"/>
  <c r="E26" i="5"/>
  <c r="AB31" i="3"/>
  <c r="D32" i="6"/>
  <c r="E32" i="6"/>
  <c r="F32" i="6" s="1"/>
  <c r="C33" i="6"/>
  <c r="I35" i="6"/>
  <c r="O34" i="6"/>
  <c r="I32" i="3"/>
  <c r="E32" i="3"/>
  <c r="C33" i="3"/>
  <c r="D32" i="3"/>
  <c r="A34" i="3"/>
  <c r="AF33" i="3"/>
  <c r="D36" i="10" l="1"/>
  <c r="E36" i="10"/>
  <c r="H36" i="10"/>
  <c r="U30" i="5"/>
  <c r="A31" i="5"/>
  <c r="A37" i="10"/>
  <c r="AD36" i="10"/>
  <c r="C37" i="10" s="1"/>
  <c r="AB32" i="3"/>
  <c r="A36" i="6"/>
  <c r="X35" i="6"/>
  <c r="D27" i="5"/>
  <c r="E27" i="5"/>
  <c r="C28" i="5"/>
  <c r="I33" i="3"/>
  <c r="D33" i="3"/>
  <c r="E33" i="3"/>
  <c r="AB33" i="3" s="1"/>
  <c r="C34" i="3"/>
  <c r="I36" i="6"/>
  <c r="O35" i="6"/>
  <c r="AD34" i="3"/>
  <c r="AE34" i="3"/>
  <c r="AF34" i="3"/>
  <c r="AC34" i="3"/>
  <c r="AG34" i="3"/>
  <c r="AH34" i="3"/>
  <c r="B34" i="3"/>
  <c r="B33" i="3" s="1"/>
  <c r="B32" i="3" s="1"/>
  <c r="B31" i="3" s="1"/>
  <c r="B30" i="3" s="1"/>
  <c r="B29" i="3" s="1"/>
  <c r="B28" i="3" s="1"/>
  <c r="B27" i="3" s="1"/>
  <c r="B26" i="3" s="1"/>
  <c r="B25" i="3" s="1"/>
  <c r="A35" i="3"/>
  <c r="L34" i="3"/>
  <c r="D33" i="6"/>
  <c r="E33" i="6"/>
  <c r="F33" i="6" s="1"/>
  <c r="C34" i="6"/>
  <c r="E37" i="10" l="1"/>
  <c r="D37" i="10"/>
  <c r="H37" i="10"/>
  <c r="A36" i="3"/>
  <c r="AF35" i="3"/>
  <c r="C29" i="5"/>
  <c r="D28" i="5"/>
  <c r="E28" i="5"/>
  <c r="I37" i="6"/>
  <c r="O36" i="6"/>
  <c r="X36" i="6"/>
  <c r="A37" i="6"/>
  <c r="A32" i="5"/>
  <c r="U31" i="5"/>
  <c r="K34" i="3"/>
  <c r="N34" i="3"/>
  <c r="E34" i="6"/>
  <c r="F34" i="6" s="1"/>
  <c r="D34" i="6"/>
  <c r="C35" i="6"/>
  <c r="D34" i="3"/>
  <c r="E34" i="3"/>
  <c r="AB34" i="3" s="1"/>
  <c r="I34" i="3"/>
  <c r="C35" i="3"/>
  <c r="AD37" i="10"/>
  <c r="C38" i="10" s="1"/>
  <c r="B37" i="10"/>
  <c r="B36" i="10" s="1"/>
  <c r="B35" i="10" s="1"/>
  <c r="B34" i="10" s="1"/>
  <c r="B33" i="10" s="1"/>
  <c r="B32" i="10" s="1"/>
  <c r="B31" i="10" s="1"/>
  <c r="B30" i="10" s="1"/>
  <c r="B29" i="10" s="1"/>
  <c r="B28" i="10" s="1"/>
  <c r="B27" i="10" s="1"/>
  <c r="B26" i="10" s="1"/>
  <c r="A38" i="10"/>
  <c r="K37" i="10"/>
  <c r="AF37" i="10"/>
  <c r="AB37" i="10"/>
  <c r="AA37" i="10"/>
  <c r="AC37" i="10"/>
  <c r="AE37" i="10"/>
  <c r="H38" i="10" l="1"/>
  <c r="D38" i="10"/>
  <c r="C39" i="10"/>
  <c r="E38" i="10"/>
  <c r="D29" i="5"/>
  <c r="E29" i="5"/>
  <c r="C30" i="5"/>
  <c r="J37" i="10"/>
  <c r="P37" i="10"/>
  <c r="M37" i="10"/>
  <c r="C36" i="6"/>
  <c r="D35" i="6"/>
  <c r="E35" i="6"/>
  <c r="F35" i="6" s="1"/>
  <c r="A39" i="10"/>
  <c r="AD38" i="10"/>
  <c r="X37" i="6"/>
  <c r="A38" i="6"/>
  <c r="A37" i="3"/>
  <c r="AF36" i="3"/>
  <c r="O34" i="3"/>
  <c r="U32" i="5"/>
  <c r="A33" i="5"/>
  <c r="V34" i="3"/>
  <c r="M34" i="3"/>
  <c r="L33" i="3"/>
  <c r="I38" i="6"/>
  <c r="O37" i="6"/>
  <c r="I35" i="3"/>
  <c r="D35" i="3"/>
  <c r="C36" i="3"/>
  <c r="E35" i="3"/>
  <c r="AB35" i="3" s="1"/>
  <c r="H34" i="3"/>
  <c r="L37" i="10" l="1"/>
  <c r="O37" i="10"/>
  <c r="K36" i="10"/>
  <c r="I39" i="6"/>
  <c r="O38" i="6"/>
  <c r="AF37" i="3"/>
  <c r="A38" i="3"/>
  <c r="AD39" i="10"/>
  <c r="C40" i="10" s="1"/>
  <c r="A40" i="10"/>
  <c r="C31" i="5"/>
  <c r="D30" i="5"/>
  <c r="E30" i="5"/>
  <c r="A34" i="5"/>
  <c r="U33" i="5"/>
  <c r="E36" i="6"/>
  <c r="F36" i="6" s="1"/>
  <c r="C37" i="6"/>
  <c r="D36" i="6"/>
  <c r="W37" i="10"/>
  <c r="X37" i="10" s="1"/>
  <c r="E39" i="10"/>
  <c r="D39" i="10"/>
  <c r="H39" i="10"/>
  <c r="U37" i="10"/>
  <c r="N33" i="3"/>
  <c r="H33" i="3"/>
  <c r="K33" i="3"/>
  <c r="AE33" i="3"/>
  <c r="AD33" i="3"/>
  <c r="D36" i="3"/>
  <c r="C37" i="3"/>
  <c r="I36" i="3"/>
  <c r="E36" i="3"/>
  <c r="AB36" i="3" s="1"/>
  <c r="T34" i="3"/>
  <c r="Q34" i="3" s="1"/>
  <c r="U34" i="3"/>
  <c r="P34" i="3" s="1"/>
  <c r="A39" i="6"/>
  <c r="X38" i="6"/>
  <c r="N37" i="10"/>
  <c r="H40" i="10" l="1"/>
  <c r="E40" i="10"/>
  <c r="D40" i="10"/>
  <c r="R34" i="3"/>
  <c r="O33" i="3"/>
  <c r="T33" i="3"/>
  <c r="E37" i="6"/>
  <c r="F37" i="6" s="1"/>
  <c r="D37" i="6"/>
  <c r="C38" i="6"/>
  <c r="I37" i="3"/>
  <c r="D37" i="3"/>
  <c r="C38" i="3"/>
  <c r="E37" i="3"/>
  <c r="AB37" i="3" s="1"/>
  <c r="W34" i="3"/>
  <c r="I40" i="6"/>
  <c r="O39" i="6"/>
  <c r="U34" i="5"/>
  <c r="A35" i="5"/>
  <c r="J36" i="10"/>
  <c r="M36" i="10"/>
  <c r="P36" i="10"/>
  <c r="W36" i="10"/>
  <c r="AC36" i="10"/>
  <c r="AB36" i="10"/>
  <c r="A39" i="3"/>
  <c r="AF38" i="3"/>
  <c r="Q37" i="10"/>
  <c r="S37" i="10" s="1"/>
  <c r="V37" i="10"/>
  <c r="X39" i="6"/>
  <c r="A40" i="6"/>
  <c r="Y37" i="10"/>
  <c r="R37" i="10"/>
  <c r="M33" i="3"/>
  <c r="U33" i="3" s="1"/>
  <c r="V33" i="3"/>
  <c r="L32" i="3"/>
  <c r="AH33" i="3"/>
  <c r="C32" i="5"/>
  <c r="D31" i="5"/>
  <c r="E31" i="5"/>
  <c r="A41" i="10"/>
  <c r="AD40" i="10"/>
  <c r="C41" i="10" s="1"/>
  <c r="E41" i="10" l="1"/>
  <c r="H41" i="10"/>
  <c r="D41" i="10"/>
  <c r="D32" i="5"/>
  <c r="C33" i="5"/>
  <c r="E32" i="5"/>
  <c r="I38" i="3"/>
  <c r="C39" i="3"/>
  <c r="D38" i="3"/>
  <c r="E38" i="3"/>
  <c r="AB38" i="3" s="1"/>
  <c r="K32" i="3"/>
  <c r="H32" i="3"/>
  <c r="N32" i="3"/>
  <c r="AE32" i="3"/>
  <c r="AD32" i="3"/>
  <c r="U35" i="5"/>
  <c r="A36" i="5"/>
  <c r="B35" i="5"/>
  <c r="B34" i="5" s="1"/>
  <c r="B33" i="5" s="1"/>
  <c r="B32" i="5" s="1"/>
  <c r="B31" i="5" s="1"/>
  <c r="B30" i="5" s="1"/>
  <c r="B29" i="5" s="1"/>
  <c r="B28" i="5" s="1"/>
  <c r="B27" i="5" s="1"/>
  <c r="B26" i="5" s="1"/>
  <c r="B25" i="5" s="1"/>
  <c r="B24" i="5" s="1"/>
  <c r="B23" i="5" s="1"/>
  <c r="B22" i="5" s="1"/>
  <c r="B21" i="5" s="1"/>
  <c r="G35" i="5"/>
  <c r="T35" i="5"/>
  <c r="S35" i="5"/>
  <c r="A41" i="6"/>
  <c r="X40" i="6"/>
  <c r="N36" i="10"/>
  <c r="V36" i="10"/>
  <c r="AF39" i="3"/>
  <c r="A40" i="3"/>
  <c r="U36" i="10"/>
  <c r="C39" i="6"/>
  <c r="D38" i="6"/>
  <c r="E38" i="6"/>
  <c r="F38" i="6" s="1"/>
  <c r="P33" i="3"/>
  <c r="Q33" i="3"/>
  <c r="W33" i="3"/>
  <c r="A42" i="10"/>
  <c r="AD41" i="10"/>
  <c r="C42" i="10" s="1"/>
  <c r="X36" i="10"/>
  <c r="L36" i="10"/>
  <c r="O36" i="10"/>
  <c r="K35" i="10"/>
  <c r="AF36" i="10"/>
  <c r="I41" i="6"/>
  <c r="O40" i="6"/>
  <c r="H42" i="10" l="1"/>
  <c r="D42" i="10"/>
  <c r="E42" i="10"/>
  <c r="A43" i="10"/>
  <c r="AD42" i="10"/>
  <c r="C43" i="10" s="1"/>
  <c r="A42" i="6"/>
  <c r="X41" i="6"/>
  <c r="O32" i="3"/>
  <c r="E33" i="5"/>
  <c r="C34" i="5"/>
  <c r="D33" i="5"/>
  <c r="A41" i="3"/>
  <c r="AF40" i="3"/>
  <c r="R33" i="3"/>
  <c r="F35" i="5"/>
  <c r="V32" i="3"/>
  <c r="M32" i="3"/>
  <c r="L31" i="3"/>
  <c r="AH32" i="3"/>
  <c r="AG33" i="3"/>
  <c r="AC33" i="3"/>
  <c r="I42" i="6"/>
  <c r="O41" i="6"/>
  <c r="Q36" i="10"/>
  <c r="S36" i="10" s="1"/>
  <c r="A37" i="5"/>
  <c r="U36" i="5"/>
  <c r="J35" i="10"/>
  <c r="P35" i="10"/>
  <c r="M35" i="10"/>
  <c r="W35" i="10"/>
  <c r="AB35" i="10"/>
  <c r="AC35" i="10"/>
  <c r="R36" i="10"/>
  <c r="Y36" i="10"/>
  <c r="E39" i="6"/>
  <c r="F39" i="6" s="1"/>
  <c r="D39" i="6"/>
  <c r="C40" i="6"/>
  <c r="D39" i="3"/>
  <c r="E39" i="3"/>
  <c r="C40" i="3"/>
  <c r="I39" i="3"/>
  <c r="E43" i="10" l="1"/>
  <c r="D43" i="10"/>
  <c r="H43" i="10"/>
  <c r="E40" i="6"/>
  <c r="F40" i="6" s="1"/>
  <c r="D40" i="6"/>
  <c r="C41" i="6"/>
  <c r="U35" i="10"/>
  <c r="A38" i="5"/>
  <c r="U37" i="5"/>
  <c r="W32" i="3"/>
  <c r="P32" i="3"/>
  <c r="U32" i="3"/>
  <c r="A43" i="6"/>
  <c r="X42" i="6"/>
  <c r="D34" i="5"/>
  <c r="C35" i="5"/>
  <c r="E34" i="5"/>
  <c r="L35" i="10"/>
  <c r="X35" i="10"/>
  <c r="O35" i="10"/>
  <c r="K34" i="10"/>
  <c r="AF35" i="10"/>
  <c r="T32" i="3"/>
  <c r="Q32" i="3" s="1"/>
  <c r="AD43" i="10"/>
  <c r="C44" i="10" s="1"/>
  <c r="A44" i="10"/>
  <c r="K31" i="3"/>
  <c r="N31" i="3"/>
  <c r="AD31" i="3"/>
  <c r="AE31" i="3"/>
  <c r="AE36" i="10"/>
  <c r="AA36" i="10"/>
  <c r="I43" i="6"/>
  <c r="O42" i="6"/>
  <c r="H35" i="5"/>
  <c r="G34" i="5"/>
  <c r="D40" i="3"/>
  <c r="E40" i="3"/>
  <c r="AB40" i="3" s="1"/>
  <c r="C41" i="3"/>
  <c r="I40" i="3"/>
  <c r="AF41" i="3"/>
  <c r="A42" i="3"/>
  <c r="V35" i="10"/>
  <c r="N35" i="10"/>
  <c r="AB39" i="3"/>
  <c r="E44" i="10" l="1"/>
  <c r="D44" i="10"/>
  <c r="H44" i="10"/>
  <c r="J34" i="10"/>
  <c r="W34" i="10" s="1"/>
  <c r="P34" i="10"/>
  <c r="M34" i="10"/>
  <c r="AC34" i="10"/>
  <c r="AB34" i="10"/>
  <c r="AG32" i="3"/>
  <c r="AC32" i="3"/>
  <c r="E41" i="6"/>
  <c r="F41" i="6" s="1"/>
  <c r="C42" i="6"/>
  <c r="D41" i="6"/>
  <c r="I34" i="5"/>
  <c r="F34" i="5"/>
  <c r="T34" i="5"/>
  <c r="Q35" i="10"/>
  <c r="O31" i="3"/>
  <c r="U31" i="3"/>
  <c r="T31" i="3"/>
  <c r="AF42" i="3"/>
  <c r="A43" i="3"/>
  <c r="M31" i="3"/>
  <c r="L30" i="3"/>
  <c r="AH31" i="3"/>
  <c r="Y35" i="10"/>
  <c r="R35" i="10"/>
  <c r="H31" i="3"/>
  <c r="V31" i="3" s="1"/>
  <c r="A45" i="10"/>
  <c r="AD44" i="10"/>
  <c r="C45" i="10" s="1"/>
  <c r="X43" i="6"/>
  <c r="A44" i="6"/>
  <c r="R32" i="3"/>
  <c r="I44" i="6"/>
  <c r="O43" i="6"/>
  <c r="D35" i="5"/>
  <c r="C36" i="5"/>
  <c r="E35" i="5"/>
  <c r="L35" i="5" s="1"/>
  <c r="I35" i="5"/>
  <c r="E41" i="3"/>
  <c r="AB41" i="3" s="1"/>
  <c r="C42" i="3"/>
  <c r="D41" i="3"/>
  <c r="I41" i="3"/>
  <c r="A39" i="5"/>
  <c r="U38" i="5"/>
  <c r="E45" i="10" l="1"/>
  <c r="D45" i="10"/>
  <c r="H45" i="10"/>
  <c r="O35" i="5"/>
  <c r="P35" i="5" s="1"/>
  <c r="J35" i="5" s="1"/>
  <c r="K35" i="5" s="1"/>
  <c r="R35" i="5"/>
  <c r="E42" i="6"/>
  <c r="F42" i="6" s="1"/>
  <c r="D42" i="6"/>
  <c r="C43" i="6"/>
  <c r="N34" i="10"/>
  <c r="AA35" i="10"/>
  <c r="AE35" i="10"/>
  <c r="L34" i="10"/>
  <c r="O34" i="10"/>
  <c r="X34" i="10"/>
  <c r="K33" i="10"/>
  <c r="AF34" i="10"/>
  <c r="I42" i="3"/>
  <c r="C43" i="3"/>
  <c r="E42" i="3"/>
  <c r="AB42" i="3" s="1"/>
  <c r="D42" i="3"/>
  <c r="U34" i="10"/>
  <c r="S35" i="10"/>
  <c r="D36" i="5"/>
  <c r="E36" i="5"/>
  <c r="C37" i="5"/>
  <c r="A40" i="5"/>
  <c r="U39" i="5"/>
  <c r="N30" i="3"/>
  <c r="K30" i="3"/>
  <c r="H30" i="3"/>
  <c r="AD30" i="3"/>
  <c r="AE30" i="3"/>
  <c r="A45" i="6"/>
  <c r="X44" i="6"/>
  <c r="W31" i="3"/>
  <c r="P31" i="3"/>
  <c r="R31" i="3" s="1"/>
  <c r="Q31" i="3"/>
  <c r="AD45" i="10"/>
  <c r="C46" i="10" s="1"/>
  <c r="A46" i="10"/>
  <c r="O34" i="5"/>
  <c r="R34" i="5"/>
  <c r="I45" i="6"/>
  <c r="O44" i="6"/>
  <c r="A44" i="3"/>
  <c r="AF43" i="3"/>
  <c r="L34" i="5"/>
  <c r="H34" i="5"/>
  <c r="G33" i="5"/>
  <c r="E46" i="10" l="1"/>
  <c r="D46" i="10"/>
  <c r="H46" i="10"/>
  <c r="AG31" i="3"/>
  <c r="AC31" i="3"/>
  <c r="R34" i="10"/>
  <c r="Y34" i="10"/>
  <c r="A47" i="10"/>
  <c r="AD46" i="10"/>
  <c r="C47" i="10" s="1"/>
  <c r="U40" i="5"/>
  <c r="A41" i="5"/>
  <c r="C44" i="3"/>
  <c r="D43" i="3"/>
  <c r="I43" i="3"/>
  <c r="E43" i="3"/>
  <c r="AB43" i="3" s="1"/>
  <c r="A45" i="3"/>
  <c r="AF44" i="3"/>
  <c r="I46" i="6"/>
  <c r="O45" i="6"/>
  <c r="V30" i="3"/>
  <c r="M30" i="3"/>
  <c r="L29" i="3"/>
  <c r="AH30" i="3"/>
  <c r="D37" i="5"/>
  <c r="E37" i="5"/>
  <c r="C38" i="5"/>
  <c r="I33" i="5"/>
  <c r="F33" i="5"/>
  <c r="T33" i="5"/>
  <c r="O30" i="3"/>
  <c r="T30" i="3"/>
  <c r="U30" i="3"/>
  <c r="V34" i="10"/>
  <c r="Q34" i="10" s="1"/>
  <c r="S34" i="10" s="1"/>
  <c r="P34" i="5"/>
  <c r="J33" i="10"/>
  <c r="M33" i="10"/>
  <c r="P33" i="10"/>
  <c r="AC33" i="10"/>
  <c r="AB33" i="10"/>
  <c r="E43" i="6"/>
  <c r="F43" i="6" s="1"/>
  <c r="D43" i="6"/>
  <c r="C44" i="6"/>
  <c r="A46" i="6"/>
  <c r="X45" i="6"/>
  <c r="E47" i="10" l="1"/>
  <c r="H47" i="10"/>
  <c r="D47" i="10"/>
  <c r="R33" i="5"/>
  <c r="O33" i="5"/>
  <c r="J34" i="5"/>
  <c r="K34" i="5" s="1"/>
  <c r="S34" i="5"/>
  <c r="D38" i="5"/>
  <c r="C39" i="5"/>
  <c r="E38" i="5"/>
  <c r="I47" i="6"/>
  <c r="O46" i="6"/>
  <c r="U33" i="10"/>
  <c r="AF45" i="3"/>
  <c r="A46" i="3"/>
  <c r="H33" i="5"/>
  <c r="L33" i="5"/>
  <c r="G32" i="5"/>
  <c r="L33" i="10"/>
  <c r="O33" i="10"/>
  <c r="V33" i="10" s="1"/>
  <c r="K32" i="10"/>
  <c r="AF33" i="10"/>
  <c r="U41" i="5"/>
  <c r="A42" i="5"/>
  <c r="D44" i="6"/>
  <c r="E44" i="6"/>
  <c r="F44" i="6" s="1"/>
  <c r="C45" i="6"/>
  <c r="N33" i="10"/>
  <c r="K29" i="3"/>
  <c r="H29" i="3" s="1"/>
  <c r="N29" i="3"/>
  <c r="AD29" i="3"/>
  <c r="AE29" i="3"/>
  <c r="AD47" i="10"/>
  <c r="C48" i="10" s="1"/>
  <c r="A48" i="10"/>
  <c r="AA34" i="10"/>
  <c r="AE34" i="10"/>
  <c r="X46" i="6"/>
  <c r="A47" i="6"/>
  <c r="W33" i="10"/>
  <c r="X33" i="10" s="1"/>
  <c r="Q30" i="3"/>
  <c r="P30" i="3"/>
  <c r="R30" i="3" s="1"/>
  <c r="W30" i="3"/>
  <c r="D44" i="3"/>
  <c r="E44" i="3"/>
  <c r="AB44" i="3" s="1"/>
  <c r="I44" i="3"/>
  <c r="C45" i="3"/>
  <c r="H48" i="10" l="1"/>
  <c r="D48" i="10"/>
  <c r="E48" i="10"/>
  <c r="C49" i="10"/>
  <c r="J32" i="10"/>
  <c r="M32" i="10"/>
  <c r="W32" i="10"/>
  <c r="P32" i="10"/>
  <c r="AB32" i="10"/>
  <c r="AC32" i="10"/>
  <c r="O29" i="3"/>
  <c r="F32" i="5"/>
  <c r="I32" i="5"/>
  <c r="T32" i="5"/>
  <c r="D39" i="5"/>
  <c r="C40" i="5"/>
  <c r="E39" i="5"/>
  <c r="AC30" i="3"/>
  <c r="AG30" i="3"/>
  <c r="I48" i="6"/>
  <c r="O47" i="6"/>
  <c r="U42" i="5"/>
  <c r="A43" i="5"/>
  <c r="Y33" i="10"/>
  <c r="R33" i="10"/>
  <c r="A49" i="10"/>
  <c r="AD48" i="10"/>
  <c r="E45" i="3"/>
  <c r="C46" i="3"/>
  <c r="D45" i="3"/>
  <c r="I45" i="3"/>
  <c r="D45" i="6"/>
  <c r="E45" i="6"/>
  <c r="F45" i="6" s="1"/>
  <c r="C46" i="6"/>
  <c r="P33" i="5"/>
  <c r="AF46" i="3"/>
  <c r="A47" i="3"/>
  <c r="A48" i="6"/>
  <c r="X47" i="6"/>
  <c r="M29" i="3"/>
  <c r="U29" i="3" s="1"/>
  <c r="V29" i="3"/>
  <c r="L28" i="3"/>
  <c r="AH29" i="3"/>
  <c r="Q33" i="10"/>
  <c r="S33" i="10" s="1"/>
  <c r="J33" i="5" l="1"/>
  <c r="K33" i="5" s="1"/>
  <c r="S33" i="5"/>
  <c r="E46" i="6"/>
  <c r="F46" i="6" s="1"/>
  <c r="C47" i="6"/>
  <c r="D46" i="6"/>
  <c r="R32" i="5"/>
  <c r="N32" i="10"/>
  <c r="AE33" i="10"/>
  <c r="AA33" i="10"/>
  <c r="I49" i="6"/>
  <c r="O48" i="6"/>
  <c r="L32" i="5"/>
  <c r="H32" i="5"/>
  <c r="G31" i="5"/>
  <c r="X32" i="10"/>
  <c r="O32" i="10"/>
  <c r="L32" i="10"/>
  <c r="K31" i="10"/>
  <c r="AF32" i="10"/>
  <c r="P29" i="3"/>
  <c r="W29" i="3"/>
  <c r="E49" i="10"/>
  <c r="D49" i="10"/>
  <c r="C50" i="10"/>
  <c r="H49" i="10"/>
  <c r="A50" i="10"/>
  <c r="AD49" i="10"/>
  <c r="T29" i="3"/>
  <c r="Q29" i="3" s="1"/>
  <c r="K28" i="3"/>
  <c r="H28" i="3"/>
  <c r="N28" i="3"/>
  <c r="AD28" i="3"/>
  <c r="AE28" i="3"/>
  <c r="A49" i="6"/>
  <c r="X48" i="6"/>
  <c r="A48" i="3"/>
  <c r="AF47" i="3"/>
  <c r="E46" i="3"/>
  <c r="D46" i="3"/>
  <c r="I46" i="3"/>
  <c r="C47" i="3"/>
  <c r="E40" i="5"/>
  <c r="D40" i="5"/>
  <c r="C41" i="5"/>
  <c r="AB45" i="3"/>
  <c r="U43" i="5"/>
  <c r="A44" i="5"/>
  <c r="J31" i="10" l="1"/>
  <c r="P31" i="10"/>
  <c r="W31" i="10"/>
  <c r="M31" i="10"/>
  <c r="AC31" i="10"/>
  <c r="AB31" i="10"/>
  <c r="AB46" i="3"/>
  <c r="H50" i="10"/>
  <c r="D50" i="10"/>
  <c r="E50" i="10"/>
  <c r="I50" i="6"/>
  <c r="O49" i="6"/>
  <c r="U44" i="5"/>
  <c r="A45" i="5"/>
  <c r="AF48" i="3"/>
  <c r="A49" i="3"/>
  <c r="E41" i="5"/>
  <c r="C42" i="5"/>
  <c r="D41" i="5"/>
  <c r="O28" i="3"/>
  <c r="C48" i="6"/>
  <c r="D47" i="6"/>
  <c r="E47" i="6"/>
  <c r="F47" i="6" s="1"/>
  <c r="A51" i="10"/>
  <c r="AD50" i="10"/>
  <c r="C51" i="10" s="1"/>
  <c r="AC29" i="3"/>
  <c r="AG29" i="3"/>
  <c r="U32" i="10"/>
  <c r="R32" i="10" s="1"/>
  <c r="V32" i="10"/>
  <c r="Y32" i="10" s="1"/>
  <c r="X49" i="6"/>
  <c r="A50" i="6"/>
  <c r="M28" i="3"/>
  <c r="L27" i="3"/>
  <c r="V28" i="3"/>
  <c r="AH28" i="3"/>
  <c r="F31" i="5"/>
  <c r="I31" i="5"/>
  <c r="T31" i="5"/>
  <c r="D47" i="3"/>
  <c r="C48" i="3"/>
  <c r="I47" i="3"/>
  <c r="E47" i="3"/>
  <c r="AB47" i="3" s="1"/>
  <c r="R29" i="3"/>
  <c r="O32" i="5"/>
  <c r="P32" i="5" s="1"/>
  <c r="AE32" i="10" l="1"/>
  <c r="AA32" i="10"/>
  <c r="J32" i="5"/>
  <c r="K32" i="5" s="1"/>
  <c r="S32" i="5"/>
  <c r="D51" i="10"/>
  <c r="H51" i="10"/>
  <c r="E51" i="10"/>
  <c r="X50" i="6"/>
  <c r="A51" i="6"/>
  <c r="Q32" i="10"/>
  <c r="S32" i="10" s="1"/>
  <c r="A50" i="3"/>
  <c r="AF49" i="3"/>
  <c r="N27" i="3"/>
  <c r="AD27" i="3"/>
  <c r="AE27" i="3"/>
  <c r="K27" i="3"/>
  <c r="D48" i="6"/>
  <c r="C49" i="6"/>
  <c r="E48" i="6"/>
  <c r="F48" i="6" s="1"/>
  <c r="I51" i="6"/>
  <c r="O50" i="6"/>
  <c r="E48" i="3"/>
  <c r="C49" i="3"/>
  <c r="D48" i="3"/>
  <c r="I48" i="3"/>
  <c r="Q28" i="3"/>
  <c r="T28" i="3"/>
  <c r="U31" i="10"/>
  <c r="U28" i="3"/>
  <c r="W28" i="3" s="1"/>
  <c r="O31" i="5"/>
  <c r="R31" i="5"/>
  <c r="N31" i="10"/>
  <c r="H31" i="5"/>
  <c r="L31" i="5"/>
  <c r="G30" i="5"/>
  <c r="A52" i="10"/>
  <c r="AD51" i="10"/>
  <c r="C52" i="10" s="1"/>
  <c r="D42" i="5"/>
  <c r="C43" i="5"/>
  <c r="E42" i="5"/>
  <c r="A46" i="5"/>
  <c r="U45" i="5"/>
  <c r="O31" i="10"/>
  <c r="X31" i="10"/>
  <c r="L31" i="10"/>
  <c r="K30" i="10"/>
  <c r="AF31" i="10"/>
  <c r="H52" i="10" l="1"/>
  <c r="E52" i="10"/>
  <c r="D52" i="10"/>
  <c r="AC28" i="3"/>
  <c r="AG28" i="3"/>
  <c r="AH27" i="3"/>
  <c r="L26" i="3"/>
  <c r="M27" i="3"/>
  <c r="D49" i="6"/>
  <c r="E49" i="6"/>
  <c r="F49" i="6" s="1"/>
  <c r="C50" i="6"/>
  <c r="F30" i="5"/>
  <c r="I30" i="5"/>
  <c r="T30" i="5"/>
  <c r="E49" i="3"/>
  <c r="C50" i="3"/>
  <c r="I49" i="3"/>
  <c r="D49" i="3"/>
  <c r="H27" i="3"/>
  <c r="V27" i="3" s="1"/>
  <c r="AB48" i="3"/>
  <c r="A53" i="10"/>
  <c r="AD52" i="10"/>
  <c r="C53" i="10" s="1"/>
  <c r="R31" i="10"/>
  <c r="A47" i="5"/>
  <c r="U46" i="5"/>
  <c r="P28" i="3"/>
  <c r="R28" i="3" s="1"/>
  <c r="I52" i="6"/>
  <c r="O51" i="6"/>
  <c r="O27" i="3"/>
  <c r="T27" i="3"/>
  <c r="U27" i="3"/>
  <c r="A52" i="6"/>
  <c r="X51" i="6"/>
  <c r="D43" i="5"/>
  <c r="E43" i="5"/>
  <c r="C44" i="5"/>
  <c r="AF50" i="3"/>
  <c r="A51" i="3"/>
  <c r="J30" i="10"/>
  <c r="W30" i="10" s="1"/>
  <c r="M30" i="10"/>
  <c r="P30" i="10"/>
  <c r="AC30" i="10"/>
  <c r="AB30" i="10"/>
  <c r="P31" i="5"/>
  <c r="V31" i="10"/>
  <c r="Y31" i="10" s="1"/>
  <c r="E53" i="10" l="1"/>
  <c r="H53" i="10"/>
  <c r="D53" i="10"/>
  <c r="AE31" i="10"/>
  <c r="AA31" i="10"/>
  <c r="D44" i="5"/>
  <c r="E44" i="5"/>
  <c r="C45" i="5"/>
  <c r="AD53" i="10"/>
  <c r="C54" i="10" s="1"/>
  <c r="A54" i="10"/>
  <c r="L30" i="5"/>
  <c r="H30" i="5"/>
  <c r="G29" i="5"/>
  <c r="Q31" i="10"/>
  <c r="S31" i="10" s="1"/>
  <c r="J31" i="5"/>
  <c r="K31" i="5" s="1"/>
  <c r="S31" i="5"/>
  <c r="C51" i="6"/>
  <c r="D50" i="6"/>
  <c r="E50" i="6"/>
  <c r="F50" i="6" s="1"/>
  <c r="N30" i="10"/>
  <c r="U47" i="5"/>
  <c r="A48" i="5"/>
  <c r="I53" i="6"/>
  <c r="O52" i="6"/>
  <c r="I50" i="3"/>
  <c r="C51" i="3"/>
  <c r="D50" i="3"/>
  <c r="E50" i="3"/>
  <c r="AB50" i="3" s="1"/>
  <c r="P27" i="3"/>
  <c r="R27" i="3" s="1"/>
  <c r="Q27" i="3"/>
  <c r="W27" i="3"/>
  <c r="K29" i="10"/>
  <c r="L30" i="10"/>
  <c r="O30" i="10"/>
  <c r="V30" i="10" s="1"/>
  <c r="X30" i="10"/>
  <c r="AF30" i="10"/>
  <c r="AB49" i="3"/>
  <c r="AD26" i="3"/>
  <c r="R17" i="3"/>
  <c r="AE26" i="3"/>
  <c r="K26" i="3"/>
  <c r="H26" i="3" s="1"/>
  <c r="N26" i="3"/>
  <c r="X52" i="6"/>
  <c r="A53" i="6"/>
  <c r="AF51" i="3"/>
  <c r="A52" i="3"/>
  <c r="E54" i="10" l="1"/>
  <c r="D54" i="10"/>
  <c r="H54" i="10"/>
  <c r="AC27" i="3"/>
  <c r="AG27" i="3"/>
  <c r="I29" i="5"/>
  <c r="F29" i="5"/>
  <c r="T29" i="5"/>
  <c r="AF52" i="3"/>
  <c r="A53" i="3"/>
  <c r="O26" i="3"/>
  <c r="U26" i="3"/>
  <c r="T26" i="3"/>
  <c r="E51" i="6"/>
  <c r="F51" i="6" s="1"/>
  <c r="D51" i="6"/>
  <c r="C52" i="6"/>
  <c r="O30" i="5"/>
  <c r="P30" i="5" s="1"/>
  <c r="A55" i="10"/>
  <c r="AD54" i="10"/>
  <c r="C55" i="10" s="1"/>
  <c r="Q30" i="10"/>
  <c r="I51" i="3"/>
  <c r="D51" i="3"/>
  <c r="C52" i="3"/>
  <c r="E51" i="3"/>
  <c r="AB51" i="3" s="1"/>
  <c r="U48" i="5"/>
  <c r="A49" i="5"/>
  <c r="R30" i="5"/>
  <c r="AH26" i="3"/>
  <c r="V26" i="3"/>
  <c r="M26" i="3"/>
  <c r="L25" i="3"/>
  <c r="Y30" i="10"/>
  <c r="O53" i="6"/>
  <c r="I54" i="6"/>
  <c r="X53" i="6"/>
  <c r="A54" i="6"/>
  <c r="J29" i="10"/>
  <c r="W29" i="10"/>
  <c r="AB29" i="10"/>
  <c r="P29" i="10"/>
  <c r="M29" i="10"/>
  <c r="AC29" i="10"/>
  <c r="U30" i="10"/>
  <c r="R30" i="10" s="1"/>
  <c r="E45" i="5"/>
  <c r="C46" i="5"/>
  <c r="D45" i="5"/>
  <c r="E55" i="10" l="1"/>
  <c r="H55" i="10"/>
  <c r="D55" i="10"/>
  <c r="J30" i="5"/>
  <c r="K30" i="5" s="1"/>
  <c r="S30" i="5"/>
  <c r="D52" i="3"/>
  <c r="I52" i="3"/>
  <c r="C53" i="3"/>
  <c r="E52" i="3"/>
  <c r="E46" i="5"/>
  <c r="C47" i="5"/>
  <c r="D46" i="5"/>
  <c r="AE30" i="10"/>
  <c r="AA30" i="10"/>
  <c r="L29" i="5"/>
  <c r="H29" i="5"/>
  <c r="G28" i="5"/>
  <c r="S30" i="10"/>
  <c r="A54" i="3"/>
  <c r="AF53" i="3"/>
  <c r="N25" i="3"/>
  <c r="AD25" i="3"/>
  <c r="AE25" i="3"/>
  <c r="H25" i="3"/>
  <c r="V25" i="3" s="1"/>
  <c r="S25" i="3"/>
  <c r="AD55" i="10"/>
  <c r="C56" i="10" s="1"/>
  <c r="A56" i="10"/>
  <c r="I55" i="6"/>
  <c r="O54" i="6"/>
  <c r="K28" i="10"/>
  <c r="L29" i="10"/>
  <c r="O29" i="10"/>
  <c r="X29" i="10"/>
  <c r="AF29" i="10"/>
  <c r="U29" i="10"/>
  <c r="Q26" i="3"/>
  <c r="P26" i="3"/>
  <c r="W26" i="3"/>
  <c r="U49" i="5"/>
  <c r="A50" i="5"/>
  <c r="N29" i="10"/>
  <c r="V29" i="10"/>
  <c r="X54" i="6"/>
  <c r="A55" i="6"/>
  <c r="C53" i="6"/>
  <c r="D52" i="6"/>
  <c r="E52" i="6"/>
  <c r="F52" i="6" s="1"/>
  <c r="H56" i="10" l="1"/>
  <c r="D56" i="10"/>
  <c r="E56" i="10"/>
  <c r="AG26" i="3"/>
  <c r="AC26" i="3"/>
  <c r="R26" i="3"/>
  <c r="A55" i="3"/>
  <c r="AF54" i="3"/>
  <c r="D47" i="5"/>
  <c r="C48" i="5"/>
  <c r="E47" i="5"/>
  <c r="A57" i="10"/>
  <c r="AD56" i="10"/>
  <c r="C57" i="10" s="1"/>
  <c r="F28" i="5"/>
  <c r="I28" i="5"/>
  <c r="T28" i="5"/>
  <c r="X25" i="3"/>
  <c r="R29" i="5"/>
  <c r="O29" i="5"/>
  <c r="P29" i="5" s="1"/>
  <c r="J28" i="10"/>
  <c r="P28" i="10"/>
  <c r="AB28" i="10"/>
  <c r="W28" i="10"/>
  <c r="AC28" i="10"/>
  <c r="M28" i="10"/>
  <c r="D53" i="6"/>
  <c r="C54" i="6"/>
  <c r="E53" i="6"/>
  <c r="F53" i="6" s="1"/>
  <c r="A56" i="6"/>
  <c r="X55" i="6"/>
  <c r="Q29" i="10"/>
  <c r="S29" i="10" s="1"/>
  <c r="AB52" i="3"/>
  <c r="O25" i="3"/>
  <c r="U25" i="3"/>
  <c r="T25" i="3"/>
  <c r="Q25" i="3" s="1"/>
  <c r="I56" i="6"/>
  <c r="O55" i="6"/>
  <c r="A51" i="5"/>
  <c r="U50" i="5"/>
  <c r="Y29" i="10"/>
  <c r="R29" i="10"/>
  <c r="I53" i="3"/>
  <c r="C54" i="3"/>
  <c r="E53" i="3"/>
  <c r="AB53" i="3" s="1"/>
  <c r="D53" i="3"/>
  <c r="D57" i="10" l="1"/>
  <c r="E57" i="10"/>
  <c r="H57" i="10"/>
  <c r="J29" i="5"/>
  <c r="K29" i="5" s="1"/>
  <c r="S29" i="5"/>
  <c r="P25" i="3"/>
  <c r="R25" i="3" s="1"/>
  <c r="W25" i="3"/>
  <c r="A57" i="6"/>
  <c r="X56" i="6"/>
  <c r="N28" i="10"/>
  <c r="O28" i="5"/>
  <c r="R28" i="5"/>
  <c r="K27" i="10"/>
  <c r="O28" i="10"/>
  <c r="V28" i="10" s="1"/>
  <c r="L28" i="10"/>
  <c r="AF28" i="10"/>
  <c r="X28" i="10"/>
  <c r="H28" i="5"/>
  <c r="L28" i="5"/>
  <c r="G27" i="5"/>
  <c r="E54" i="6"/>
  <c r="F54" i="6" s="1"/>
  <c r="D54" i="6"/>
  <c r="C55" i="6"/>
  <c r="A58" i="10"/>
  <c r="AD57" i="10"/>
  <c r="C58" i="10" s="1"/>
  <c r="A56" i="3"/>
  <c r="AF55" i="3"/>
  <c r="E54" i="3"/>
  <c r="I54" i="3"/>
  <c r="C55" i="3"/>
  <c r="D54" i="3"/>
  <c r="U28" i="10"/>
  <c r="C49" i="5"/>
  <c r="E48" i="5"/>
  <c r="D48" i="5"/>
  <c r="U51" i="5"/>
  <c r="A52" i="5"/>
  <c r="AA29" i="10"/>
  <c r="AE29" i="10"/>
  <c r="I57" i="6"/>
  <c r="O56" i="6"/>
  <c r="H58" i="10" l="1"/>
  <c r="E58" i="10"/>
  <c r="D58" i="10"/>
  <c r="D49" i="5"/>
  <c r="C50" i="5"/>
  <c r="E49" i="5"/>
  <c r="D55" i="6"/>
  <c r="C56" i="6"/>
  <c r="E55" i="6"/>
  <c r="F55" i="6" s="1"/>
  <c r="R28" i="10"/>
  <c r="Y28" i="10"/>
  <c r="Q28" i="10"/>
  <c r="S28" i="10" s="1"/>
  <c r="AG25" i="3"/>
  <c r="AC25" i="3"/>
  <c r="J27" i="10"/>
  <c r="AC27" i="10"/>
  <c r="P27" i="10"/>
  <c r="M27" i="10"/>
  <c r="AB27" i="10"/>
  <c r="I27" i="5"/>
  <c r="F27" i="5"/>
  <c r="T27" i="5"/>
  <c r="AF56" i="3"/>
  <c r="A57" i="3"/>
  <c r="D55" i="3"/>
  <c r="E55" i="3"/>
  <c r="AB55" i="3" s="1"/>
  <c r="C56" i="3"/>
  <c r="I55" i="3"/>
  <c r="A59" i="10"/>
  <c r="AD58" i="10"/>
  <c r="C59" i="10" s="1"/>
  <c r="U52" i="5"/>
  <c r="A53" i="5"/>
  <c r="I58" i="6"/>
  <c r="O57" i="6"/>
  <c r="AB54" i="3"/>
  <c r="P28" i="5"/>
  <c r="X57" i="6"/>
  <c r="A58" i="6"/>
  <c r="E59" i="10" l="1"/>
  <c r="D59" i="10"/>
  <c r="H59" i="10"/>
  <c r="K26" i="10"/>
  <c r="AF27" i="10"/>
  <c r="X27" i="10"/>
  <c r="L27" i="10"/>
  <c r="U27" i="10" s="1"/>
  <c r="O27" i="10"/>
  <c r="L27" i="5"/>
  <c r="H27" i="5"/>
  <c r="G26" i="5"/>
  <c r="C51" i="5"/>
  <c r="E50" i="5"/>
  <c r="D50" i="5"/>
  <c r="C57" i="3"/>
  <c r="I56" i="3"/>
  <c r="E56" i="3"/>
  <c r="AB56" i="3" s="1"/>
  <c r="D56" i="3"/>
  <c r="W27" i="10"/>
  <c r="AA28" i="10"/>
  <c r="AE28" i="10"/>
  <c r="X58" i="6"/>
  <c r="A59" i="6"/>
  <c r="I59" i="6"/>
  <c r="O58" i="6"/>
  <c r="A60" i="10"/>
  <c r="AD59" i="10"/>
  <c r="C60" i="10" s="1"/>
  <c r="O27" i="5"/>
  <c r="R27" i="5"/>
  <c r="A58" i="3"/>
  <c r="AF57" i="3"/>
  <c r="V27" i="10"/>
  <c r="N27" i="10"/>
  <c r="J28" i="5"/>
  <c r="K28" i="5" s="1"/>
  <c r="S28" i="5"/>
  <c r="U53" i="5"/>
  <c r="A54" i="5"/>
  <c r="C57" i="6"/>
  <c r="D56" i="6"/>
  <c r="E56" i="6"/>
  <c r="F56" i="6" s="1"/>
  <c r="D60" i="10" l="1"/>
  <c r="H60" i="10"/>
  <c r="E60" i="10"/>
  <c r="A61" i="10"/>
  <c r="AD60" i="10"/>
  <c r="C61" i="10" s="1"/>
  <c r="O59" i="6"/>
  <c r="I60" i="6"/>
  <c r="C52" i="5"/>
  <c r="E51" i="5"/>
  <c r="D51" i="5"/>
  <c r="A59" i="3"/>
  <c r="AF58" i="3"/>
  <c r="F26" i="5"/>
  <c r="I26" i="5"/>
  <c r="T26" i="5"/>
  <c r="AB26" i="10"/>
  <c r="AC26" i="10"/>
  <c r="W26" i="10"/>
  <c r="N18" i="10"/>
  <c r="T26" i="10"/>
  <c r="P26" i="10"/>
  <c r="M26" i="10"/>
  <c r="U26" i="10" s="1"/>
  <c r="R26" i="10" s="1"/>
  <c r="P27" i="5"/>
  <c r="U54" i="5"/>
  <c r="A55" i="5"/>
  <c r="E57" i="6"/>
  <c r="F57" i="6" s="1"/>
  <c r="C58" i="6"/>
  <c r="D57" i="6"/>
  <c r="A60" i="6"/>
  <c r="X59" i="6"/>
  <c r="R27" i="10"/>
  <c r="Y27" i="10"/>
  <c r="D57" i="3"/>
  <c r="I57" i="3"/>
  <c r="E57" i="3"/>
  <c r="AB57" i="3" s="1"/>
  <c r="C58" i="3"/>
  <c r="Q27" i="10"/>
  <c r="D61" i="10" l="1"/>
  <c r="E61" i="10"/>
  <c r="H61" i="10"/>
  <c r="C62" i="10"/>
  <c r="J27" i="5"/>
  <c r="K27" i="5" s="1"/>
  <c r="S27" i="5"/>
  <c r="O26" i="5"/>
  <c r="S27" i="10"/>
  <c r="N26" i="10"/>
  <c r="V26" i="10"/>
  <c r="H26" i="5"/>
  <c r="L26" i="5"/>
  <c r="G25" i="5"/>
  <c r="AD61" i="10"/>
  <c r="A62" i="10"/>
  <c r="O60" i="6"/>
  <c r="I61" i="6"/>
  <c r="Z26" i="10"/>
  <c r="A60" i="3"/>
  <c r="AF59" i="3"/>
  <c r="E58" i="6"/>
  <c r="F58" i="6" s="1"/>
  <c r="D58" i="6"/>
  <c r="C59" i="6"/>
  <c r="D58" i="3"/>
  <c r="C59" i="3"/>
  <c r="E58" i="3"/>
  <c r="AB58" i="3" s="1"/>
  <c r="I58" i="3"/>
  <c r="AA27" i="10"/>
  <c r="AE27" i="10"/>
  <c r="X60" i="6"/>
  <c r="A61" i="6"/>
  <c r="B60" i="6"/>
  <c r="B59" i="6" s="1"/>
  <c r="B58" i="6" s="1"/>
  <c r="B57" i="6" s="1"/>
  <c r="B56" i="6" s="1"/>
  <c r="B55" i="6" s="1"/>
  <c r="B54" i="6" s="1"/>
  <c r="B53" i="6" s="1"/>
  <c r="B52" i="6" s="1"/>
  <c r="B51" i="6" s="1"/>
  <c r="B50" i="6" s="1"/>
  <c r="B49" i="6" s="1"/>
  <c r="B48" i="6" s="1"/>
  <c r="B47" i="6" s="1"/>
  <c r="B46" i="6" s="1"/>
  <c r="B45" i="6" s="1"/>
  <c r="B44" i="6" s="1"/>
  <c r="B43" i="6" s="1"/>
  <c r="B42" i="6" s="1"/>
  <c r="B41" i="6" s="1"/>
  <c r="B40" i="6" s="1"/>
  <c r="B39" i="6" s="1"/>
  <c r="B38" i="6" s="1"/>
  <c r="B37" i="6" s="1"/>
  <c r="B36" i="6" s="1"/>
  <c r="B35" i="6" s="1"/>
  <c r="B34" i="6" s="1"/>
  <c r="B33" i="6" s="1"/>
  <c r="B32" i="6" s="1"/>
  <c r="B31" i="6" s="1"/>
  <c r="B30" i="6" s="1"/>
  <c r="B29" i="6" s="1"/>
  <c r="B28" i="6" s="1"/>
  <c r="B27" i="6" s="1"/>
  <c r="B26" i="6" s="1"/>
  <c r="B25" i="6" s="1"/>
  <c r="V60" i="6"/>
  <c r="W60" i="6"/>
  <c r="K60" i="6"/>
  <c r="U60" i="6"/>
  <c r="A56" i="5"/>
  <c r="U55" i="5"/>
  <c r="E52" i="5"/>
  <c r="C53" i="5"/>
  <c r="D52" i="5"/>
  <c r="U56" i="5" l="1"/>
  <c r="A57" i="5"/>
  <c r="D53" i="5"/>
  <c r="E53" i="5"/>
  <c r="C54" i="5"/>
  <c r="A61" i="3"/>
  <c r="AF60" i="3"/>
  <c r="P26" i="5"/>
  <c r="J60" i="6"/>
  <c r="Y26" i="10"/>
  <c r="Q26" i="10"/>
  <c r="S26" i="10" s="1"/>
  <c r="A63" i="10"/>
  <c r="AD62" i="10"/>
  <c r="H62" i="10"/>
  <c r="D62" i="10"/>
  <c r="C63" i="10"/>
  <c r="E62" i="10"/>
  <c r="I25" i="5"/>
  <c r="F25" i="5"/>
  <c r="T25" i="5"/>
  <c r="D59" i="3"/>
  <c r="I59" i="3"/>
  <c r="E59" i="3"/>
  <c r="AB59" i="3" s="1"/>
  <c r="C60" i="3"/>
  <c r="O61" i="6"/>
  <c r="I62" i="6"/>
  <c r="A62" i="6"/>
  <c r="X61" i="6"/>
  <c r="D59" i="6"/>
  <c r="E59" i="6"/>
  <c r="F59" i="6" s="1"/>
  <c r="C60" i="6"/>
  <c r="R26" i="5"/>
  <c r="AE26" i="10" l="1"/>
  <c r="AA26" i="10"/>
  <c r="A63" i="6"/>
  <c r="X62" i="6"/>
  <c r="R25" i="5"/>
  <c r="O25" i="5"/>
  <c r="K59" i="6"/>
  <c r="D63" i="10"/>
  <c r="H63" i="10"/>
  <c r="E63" i="10"/>
  <c r="O62" i="6"/>
  <c r="I63" i="6"/>
  <c r="J26" i="5"/>
  <c r="K26" i="5" s="1"/>
  <c r="S26" i="5"/>
  <c r="H25" i="5"/>
  <c r="L25" i="5"/>
  <c r="G24" i="5"/>
  <c r="D60" i="3"/>
  <c r="I60" i="3"/>
  <c r="C61" i="3"/>
  <c r="E60" i="3"/>
  <c r="AB60" i="3" s="1"/>
  <c r="AF61" i="3"/>
  <c r="A62" i="3"/>
  <c r="U57" i="5"/>
  <c r="A58" i="5"/>
  <c r="E60" i="6"/>
  <c r="C61" i="6"/>
  <c r="D60" i="6"/>
  <c r="M60" i="6" s="1"/>
  <c r="AD63" i="10"/>
  <c r="C64" i="10" s="1"/>
  <c r="A64" i="10"/>
  <c r="C55" i="5"/>
  <c r="D54" i="5"/>
  <c r="E54" i="5"/>
  <c r="H64" i="10" l="1"/>
  <c r="E64" i="10"/>
  <c r="D64" i="10"/>
  <c r="I61" i="3"/>
  <c r="D61" i="3"/>
  <c r="E61" i="3"/>
  <c r="C62" i="3"/>
  <c r="O63" i="6"/>
  <c r="I64" i="6"/>
  <c r="F60" i="6"/>
  <c r="H60" i="6"/>
  <c r="R60" i="6"/>
  <c r="E55" i="5"/>
  <c r="C56" i="5"/>
  <c r="D55" i="5"/>
  <c r="A65" i="10"/>
  <c r="AD64" i="10"/>
  <c r="C65" i="10" s="1"/>
  <c r="I24" i="5"/>
  <c r="F24" i="5"/>
  <c r="T24" i="5"/>
  <c r="A59" i="5"/>
  <c r="U58" i="5"/>
  <c r="X63" i="6"/>
  <c r="A64" i="6"/>
  <c r="A63" i="3"/>
  <c r="AF62" i="3"/>
  <c r="P25" i="5"/>
  <c r="D61" i="6"/>
  <c r="C62" i="6"/>
  <c r="E61" i="6"/>
  <c r="F61" i="6" s="1"/>
  <c r="H59" i="6"/>
  <c r="J59" i="6"/>
  <c r="M59" i="6"/>
  <c r="V59" i="6"/>
  <c r="W59" i="6" s="1"/>
  <c r="H65" i="10" l="1"/>
  <c r="E65" i="10"/>
  <c r="D65" i="10"/>
  <c r="E62" i="3"/>
  <c r="D62" i="3"/>
  <c r="I62" i="3"/>
  <c r="C63" i="3"/>
  <c r="AB61" i="3"/>
  <c r="C63" i="6"/>
  <c r="E62" i="6"/>
  <c r="F62" i="6" s="1"/>
  <c r="D62" i="6"/>
  <c r="H24" i="5"/>
  <c r="L24" i="5"/>
  <c r="G23" i="5"/>
  <c r="U59" i="5"/>
  <c r="A60" i="5"/>
  <c r="X64" i="6"/>
  <c r="A65" i="6"/>
  <c r="O24" i="5"/>
  <c r="R24" i="5"/>
  <c r="L60" i="6"/>
  <c r="P60" i="6" s="1"/>
  <c r="E56" i="5"/>
  <c r="D56" i="5"/>
  <c r="C57" i="5"/>
  <c r="A64" i="3"/>
  <c r="AF63" i="3"/>
  <c r="A66" i="10"/>
  <c r="AD65" i="10"/>
  <c r="C66" i="10" s="1"/>
  <c r="I65" i="6"/>
  <c r="O64" i="6"/>
  <c r="J25" i="5"/>
  <c r="K25" i="5" s="1"/>
  <c r="S25" i="5"/>
  <c r="R59" i="6"/>
  <c r="L59" i="6"/>
  <c r="P59" i="6" s="1"/>
  <c r="K58" i="6"/>
  <c r="E66" i="10" l="1"/>
  <c r="D66" i="10"/>
  <c r="H66" i="10"/>
  <c r="D63" i="3"/>
  <c r="C64" i="3"/>
  <c r="I63" i="3"/>
  <c r="E63" i="3"/>
  <c r="AB63" i="3" s="1"/>
  <c r="I66" i="6"/>
  <c r="O65" i="6"/>
  <c r="X65" i="6"/>
  <c r="A66" i="6"/>
  <c r="I23" i="5"/>
  <c r="T23" i="5"/>
  <c r="F23" i="5"/>
  <c r="H58" i="6"/>
  <c r="J58" i="6"/>
  <c r="M58" i="6"/>
  <c r="V58" i="6"/>
  <c r="W58" i="6" s="1"/>
  <c r="P24" i="5"/>
  <c r="AB62" i="3"/>
  <c r="A67" i="10"/>
  <c r="AD66" i="10"/>
  <c r="C67" i="10" s="1"/>
  <c r="D57" i="5"/>
  <c r="C58" i="5"/>
  <c r="E57" i="5"/>
  <c r="AF64" i="3"/>
  <c r="A65" i="3"/>
  <c r="Q59" i="6"/>
  <c r="S59" i="6" s="1"/>
  <c r="U59" i="6" s="1"/>
  <c r="D63" i="6"/>
  <c r="E63" i="6"/>
  <c r="F63" i="6" s="1"/>
  <c r="C64" i="6"/>
  <c r="Q60" i="6"/>
  <c r="S60" i="6" s="1"/>
  <c r="A61" i="5"/>
  <c r="U60" i="5"/>
  <c r="D67" i="10" l="1"/>
  <c r="H67" i="10"/>
  <c r="E67" i="10"/>
  <c r="U61" i="5"/>
  <c r="A62" i="5"/>
  <c r="R58" i="6"/>
  <c r="L58" i="6"/>
  <c r="P58" i="6" s="1"/>
  <c r="Q58" i="6"/>
  <c r="S58" i="6" s="1"/>
  <c r="U58" i="6" s="1"/>
  <c r="K57" i="6"/>
  <c r="D64" i="3"/>
  <c r="C65" i="3"/>
  <c r="E64" i="3"/>
  <c r="I64" i="3"/>
  <c r="E58" i="5"/>
  <c r="D58" i="5"/>
  <c r="C59" i="5"/>
  <c r="E64" i="6"/>
  <c r="F64" i="6" s="1"/>
  <c r="D64" i="6"/>
  <c r="C65" i="6"/>
  <c r="L23" i="5"/>
  <c r="H23" i="5"/>
  <c r="G22" i="5"/>
  <c r="X66" i="6"/>
  <c r="A67" i="6"/>
  <c r="A68" i="10"/>
  <c r="AD67" i="10"/>
  <c r="C68" i="10" s="1"/>
  <c r="O23" i="5"/>
  <c r="R23" i="5"/>
  <c r="AF65" i="3"/>
  <c r="A66" i="3"/>
  <c r="J24" i="5"/>
  <c r="K24" i="5" s="1"/>
  <c r="S24" i="5"/>
  <c r="O66" i="6"/>
  <c r="I67" i="6"/>
  <c r="D68" i="10" l="1"/>
  <c r="H68" i="10"/>
  <c r="E68" i="10"/>
  <c r="H57" i="6"/>
  <c r="M57" i="6"/>
  <c r="J57" i="6"/>
  <c r="V57" i="6"/>
  <c r="W57" i="6" s="1"/>
  <c r="A63" i="5"/>
  <c r="U62" i="5"/>
  <c r="D59" i="5"/>
  <c r="E59" i="5"/>
  <c r="C60" i="5"/>
  <c r="E65" i="3"/>
  <c r="D65" i="3"/>
  <c r="I65" i="3"/>
  <c r="C66" i="3"/>
  <c r="D65" i="6"/>
  <c r="C66" i="6"/>
  <c r="E65" i="6"/>
  <c r="F65" i="6" s="1"/>
  <c r="X67" i="6"/>
  <c r="A68" i="6"/>
  <c r="A69" i="10"/>
  <c r="AD68" i="10"/>
  <c r="C69" i="10" s="1"/>
  <c r="I22" i="5"/>
  <c r="F22" i="5"/>
  <c r="T22" i="5"/>
  <c r="O67" i="6"/>
  <c r="I68" i="6"/>
  <c r="P23" i="5"/>
  <c r="AF66" i="3"/>
  <c r="A67" i="3"/>
  <c r="AB64" i="3"/>
  <c r="H69" i="10" l="1"/>
  <c r="E69" i="10"/>
  <c r="D69" i="10"/>
  <c r="D66" i="6"/>
  <c r="C67" i="6"/>
  <c r="E66" i="6"/>
  <c r="F66" i="6" s="1"/>
  <c r="L57" i="6"/>
  <c r="P57" i="6" s="1"/>
  <c r="R57" i="6"/>
  <c r="K56" i="6"/>
  <c r="J23" i="5"/>
  <c r="K23" i="5" s="1"/>
  <c r="S23" i="5"/>
  <c r="I69" i="6"/>
  <c r="O68" i="6"/>
  <c r="L22" i="5"/>
  <c r="H22" i="5"/>
  <c r="G21" i="5"/>
  <c r="X68" i="6"/>
  <c r="A69" i="6"/>
  <c r="AB65" i="3"/>
  <c r="AD69" i="10"/>
  <c r="C70" i="10" s="1"/>
  <c r="A70" i="10"/>
  <c r="D66" i="3"/>
  <c r="E66" i="3"/>
  <c r="AB66" i="3" s="1"/>
  <c r="I66" i="3"/>
  <c r="C67" i="3"/>
  <c r="AF67" i="3"/>
  <c r="A68" i="3"/>
  <c r="R22" i="5"/>
  <c r="O22" i="5"/>
  <c r="E60" i="5"/>
  <c r="D60" i="5"/>
  <c r="C61" i="5"/>
  <c r="U63" i="5"/>
  <c r="A64" i="5"/>
  <c r="H70" i="10" l="1"/>
  <c r="D70" i="10"/>
  <c r="E70" i="10"/>
  <c r="D61" i="5"/>
  <c r="E61" i="5"/>
  <c r="C62" i="5"/>
  <c r="E67" i="3"/>
  <c r="D67" i="3"/>
  <c r="I67" i="3"/>
  <c r="C68" i="3"/>
  <c r="A71" i="10"/>
  <c r="AD70" i="10"/>
  <c r="C71" i="10" s="1"/>
  <c r="I70" i="6"/>
  <c r="O69" i="6"/>
  <c r="D67" i="6"/>
  <c r="C68" i="6"/>
  <c r="E67" i="6"/>
  <c r="F67" i="6" s="1"/>
  <c r="X69" i="6"/>
  <c r="A70" i="6"/>
  <c r="T21" i="5"/>
  <c r="I21" i="5"/>
  <c r="M21" i="5"/>
  <c r="H56" i="6"/>
  <c r="M56" i="6"/>
  <c r="J56" i="6"/>
  <c r="V56" i="6"/>
  <c r="W56" i="6" s="1"/>
  <c r="AF68" i="3"/>
  <c r="A69" i="3"/>
  <c r="P22" i="5"/>
  <c r="Q57" i="6"/>
  <c r="S57" i="6" s="1"/>
  <c r="U57" i="6" s="1"/>
  <c r="A65" i="5"/>
  <c r="U64" i="5"/>
  <c r="E71" i="10" l="1"/>
  <c r="D71" i="10"/>
  <c r="H71" i="10"/>
  <c r="R56" i="6"/>
  <c r="Q56" i="6"/>
  <c r="S56" i="6" s="1"/>
  <c r="U56" i="6" s="1"/>
  <c r="L56" i="6"/>
  <c r="P56" i="6" s="1"/>
  <c r="K55" i="6"/>
  <c r="D62" i="5"/>
  <c r="E62" i="5"/>
  <c r="C63" i="5"/>
  <c r="AD71" i="10"/>
  <c r="C72" i="10" s="1"/>
  <c r="A72" i="10"/>
  <c r="A71" i="6"/>
  <c r="X70" i="6"/>
  <c r="D68" i="3"/>
  <c r="E68" i="3"/>
  <c r="AB68" i="3" s="1"/>
  <c r="I68" i="3"/>
  <c r="C69" i="3"/>
  <c r="O21" i="5"/>
  <c r="P21" i="5" s="1"/>
  <c r="J21" i="5" s="1"/>
  <c r="K21" i="5" s="1"/>
  <c r="R21" i="5"/>
  <c r="I71" i="6"/>
  <c r="O70" i="6"/>
  <c r="S21" i="5"/>
  <c r="Q21" i="5"/>
  <c r="AF69" i="3"/>
  <c r="A70" i="3"/>
  <c r="U65" i="5"/>
  <c r="A66" i="5"/>
  <c r="S22" i="5"/>
  <c r="J22" i="5"/>
  <c r="K22" i="5" s="1"/>
  <c r="E68" i="6"/>
  <c r="F68" i="6" s="1"/>
  <c r="D68" i="6"/>
  <c r="C69" i="6"/>
  <c r="AB67" i="3"/>
  <c r="D72" i="10" l="1"/>
  <c r="H72" i="10"/>
  <c r="E72" i="10"/>
  <c r="E69" i="3"/>
  <c r="D69" i="3"/>
  <c r="I69" i="3"/>
  <c r="C70" i="3"/>
  <c r="H55" i="6"/>
  <c r="M55" i="6"/>
  <c r="J55" i="6"/>
  <c r="V55" i="6"/>
  <c r="W55" i="6" s="1"/>
  <c r="X71" i="6"/>
  <c r="A72" i="6"/>
  <c r="I72" i="6"/>
  <c r="O71" i="6"/>
  <c r="D63" i="5"/>
  <c r="C64" i="5"/>
  <c r="E63" i="5"/>
  <c r="E69" i="6"/>
  <c r="F69" i="6" s="1"/>
  <c r="D69" i="6"/>
  <c r="C70" i="6"/>
  <c r="A73" i="10"/>
  <c r="AD72" i="10"/>
  <c r="C73" i="10" s="1"/>
  <c r="A67" i="5"/>
  <c r="U66" i="5"/>
  <c r="AF70" i="3"/>
  <c r="A71" i="3"/>
  <c r="E73" i="10" l="1"/>
  <c r="D73" i="10"/>
  <c r="H73" i="10"/>
  <c r="D64" i="5"/>
  <c r="C65" i="5"/>
  <c r="E64" i="5"/>
  <c r="X72" i="6"/>
  <c r="A73" i="6"/>
  <c r="AB69" i="3"/>
  <c r="C71" i="6"/>
  <c r="D70" i="6"/>
  <c r="E70" i="6"/>
  <c r="F70" i="6" s="1"/>
  <c r="L55" i="6"/>
  <c r="P55" i="6" s="1"/>
  <c r="R55" i="6"/>
  <c r="K54" i="6"/>
  <c r="AF71" i="3"/>
  <c r="A72" i="3"/>
  <c r="I73" i="6"/>
  <c r="O72" i="6"/>
  <c r="D70" i="3"/>
  <c r="E70" i="3"/>
  <c r="AB70" i="3" s="1"/>
  <c r="I70" i="3"/>
  <c r="C71" i="3"/>
  <c r="U67" i="5"/>
  <c r="A68" i="5"/>
  <c r="A74" i="10"/>
  <c r="AD73" i="10"/>
  <c r="C74" i="10" s="1"/>
  <c r="H74" i="10" l="1"/>
  <c r="D74" i="10"/>
  <c r="E74" i="10"/>
  <c r="H54" i="6"/>
  <c r="M54" i="6"/>
  <c r="J54" i="6"/>
  <c r="V54" i="6"/>
  <c r="W54" i="6" s="1"/>
  <c r="E65" i="5"/>
  <c r="D65" i="5"/>
  <c r="C66" i="5"/>
  <c r="Q55" i="6"/>
  <c r="S55" i="6" s="1"/>
  <c r="U55" i="6" s="1"/>
  <c r="X73" i="6"/>
  <c r="A74" i="6"/>
  <c r="E71" i="3"/>
  <c r="AB71" i="3" s="1"/>
  <c r="D71" i="3"/>
  <c r="I71" i="3"/>
  <c r="C72" i="3"/>
  <c r="A75" i="10"/>
  <c r="AD74" i="10"/>
  <c r="C75" i="10" s="1"/>
  <c r="U68" i="5"/>
  <c r="A69" i="5"/>
  <c r="O73" i="6"/>
  <c r="I74" i="6"/>
  <c r="AF72" i="3"/>
  <c r="A73" i="3"/>
  <c r="D71" i="6"/>
  <c r="C72" i="6"/>
  <c r="E71" i="6"/>
  <c r="F71" i="6" s="1"/>
  <c r="E75" i="10" l="1"/>
  <c r="D75" i="10"/>
  <c r="H75" i="10"/>
  <c r="L54" i="6"/>
  <c r="P54" i="6" s="1"/>
  <c r="R54" i="6"/>
  <c r="K53" i="6"/>
  <c r="A75" i="6"/>
  <c r="X74" i="6"/>
  <c r="AF73" i="3"/>
  <c r="A74" i="3"/>
  <c r="U69" i="5"/>
  <c r="A70" i="5"/>
  <c r="D66" i="5"/>
  <c r="C67" i="5"/>
  <c r="E66" i="5"/>
  <c r="E72" i="6"/>
  <c r="F72" i="6" s="1"/>
  <c r="D72" i="6"/>
  <c r="C73" i="6"/>
  <c r="I75" i="6"/>
  <c r="O74" i="6"/>
  <c r="A76" i="10"/>
  <c r="AD75" i="10"/>
  <c r="C76" i="10" s="1"/>
  <c r="D72" i="3"/>
  <c r="E72" i="3"/>
  <c r="AB72" i="3" s="1"/>
  <c r="I72" i="3"/>
  <c r="C73" i="3"/>
  <c r="D76" i="10" l="1"/>
  <c r="H76" i="10"/>
  <c r="E76" i="10"/>
  <c r="S54" i="6"/>
  <c r="U54" i="6" s="1"/>
  <c r="O75" i="6"/>
  <c r="I76" i="6"/>
  <c r="Q54" i="6"/>
  <c r="E67" i="5"/>
  <c r="C68" i="5"/>
  <c r="D67" i="5"/>
  <c r="A77" i="10"/>
  <c r="AD76" i="10"/>
  <c r="C77" i="10" s="1"/>
  <c r="H53" i="6"/>
  <c r="M53" i="6"/>
  <c r="J53" i="6"/>
  <c r="V53" i="6"/>
  <c r="W53" i="6" s="1"/>
  <c r="E73" i="3"/>
  <c r="I73" i="3"/>
  <c r="D73" i="3"/>
  <c r="C74" i="3"/>
  <c r="D73" i="6"/>
  <c r="C74" i="6"/>
  <c r="E73" i="6"/>
  <c r="F73" i="6" s="1"/>
  <c r="A71" i="5"/>
  <c r="U70" i="5"/>
  <c r="AF74" i="3"/>
  <c r="A75" i="3"/>
  <c r="X75" i="6"/>
  <c r="A76" i="6"/>
  <c r="E77" i="10" l="1"/>
  <c r="H77" i="10"/>
  <c r="D77" i="10"/>
  <c r="I77" i="6"/>
  <c r="O76" i="6"/>
  <c r="E74" i="6"/>
  <c r="F74" i="6" s="1"/>
  <c r="C75" i="6"/>
  <c r="D74" i="6"/>
  <c r="D74" i="3"/>
  <c r="I74" i="3"/>
  <c r="E74" i="3"/>
  <c r="C75" i="3"/>
  <c r="E68" i="5"/>
  <c r="C69" i="5"/>
  <c r="D68" i="5"/>
  <c r="AF75" i="3"/>
  <c r="A76" i="3"/>
  <c r="AB73" i="3"/>
  <c r="R53" i="6"/>
  <c r="L53" i="6"/>
  <c r="P53" i="6" s="1"/>
  <c r="K52" i="6"/>
  <c r="AD77" i="10"/>
  <c r="C78" i="10" s="1"/>
  <c r="A78" i="10"/>
  <c r="X76" i="6"/>
  <c r="A77" i="6"/>
  <c r="A72" i="5"/>
  <c r="U71" i="5"/>
  <c r="H78" i="10" l="1"/>
  <c r="D78" i="10"/>
  <c r="E78" i="10"/>
  <c r="A73" i="5"/>
  <c r="U72" i="5"/>
  <c r="H52" i="6"/>
  <c r="M52" i="6"/>
  <c r="J52" i="6"/>
  <c r="V52" i="6"/>
  <c r="W52" i="6" s="1"/>
  <c r="E75" i="3"/>
  <c r="AB75" i="3" s="1"/>
  <c r="C76" i="3"/>
  <c r="D75" i="3"/>
  <c r="I75" i="3"/>
  <c r="Q53" i="6"/>
  <c r="AB74" i="3"/>
  <c r="O77" i="6"/>
  <c r="I78" i="6"/>
  <c r="S53" i="6"/>
  <c r="U53" i="6" s="1"/>
  <c r="D75" i="6"/>
  <c r="E75" i="6"/>
  <c r="F75" i="6" s="1"/>
  <c r="C76" i="6"/>
  <c r="A79" i="10"/>
  <c r="AD78" i="10"/>
  <c r="C79" i="10" s="1"/>
  <c r="E69" i="5"/>
  <c r="C70" i="5"/>
  <c r="D69" i="5"/>
  <c r="A77" i="3"/>
  <c r="AF76" i="3"/>
  <c r="A78" i="6"/>
  <c r="X77" i="6"/>
  <c r="D79" i="10" l="1"/>
  <c r="H79" i="10"/>
  <c r="E79" i="10"/>
  <c r="O78" i="6"/>
  <c r="I79" i="6"/>
  <c r="A78" i="3"/>
  <c r="AF77" i="3"/>
  <c r="D70" i="5"/>
  <c r="E70" i="5"/>
  <c r="C71" i="5"/>
  <c r="L52" i="6"/>
  <c r="P52" i="6" s="1"/>
  <c r="R52" i="6"/>
  <c r="K51" i="6"/>
  <c r="U73" i="5"/>
  <c r="A74" i="5"/>
  <c r="AD79" i="10"/>
  <c r="C80" i="10" s="1"/>
  <c r="A80" i="10"/>
  <c r="D76" i="3"/>
  <c r="C77" i="3"/>
  <c r="E76" i="3"/>
  <c r="I76" i="3"/>
  <c r="E76" i="6"/>
  <c r="F76" i="6" s="1"/>
  <c r="D76" i="6"/>
  <c r="C77" i="6"/>
  <c r="A79" i="6"/>
  <c r="X78" i="6"/>
  <c r="H80" i="10" l="1"/>
  <c r="E80" i="10"/>
  <c r="D80" i="10"/>
  <c r="A81" i="10"/>
  <c r="AD80" i="10"/>
  <c r="C81" i="10" s="1"/>
  <c r="H51" i="6"/>
  <c r="M51" i="6"/>
  <c r="J51" i="6"/>
  <c r="V51" i="6"/>
  <c r="W51" i="6" s="1"/>
  <c r="A79" i="3"/>
  <c r="AF78" i="3"/>
  <c r="A80" i="6"/>
  <c r="X79" i="6"/>
  <c r="I80" i="6"/>
  <c r="O79" i="6"/>
  <c r="D77" i="6"/>
  <c r="C78" i="6"/>
  <c r="E77" i="6"/>
  <c r="F77" i="6" s="1"/>
  <c r="Q52" i="6"/>
  <c r="S52" i="6" s="1"/>
  <c r="U52" i="6" s="1"/>
  <c r="E77" i="3"/>
  <c r="D77" i="3"/>
  <c r="I77" i="3"/>
  <c r="C78" i="3"/>
  <c r="D71" i="5"/>
  <c r="C72" i="5"/>
  <c r="E71" i="5"/>
  <c r="AB76" i="3"/>
  <c r="A75" i="5"/>
  <c r="U74" i="5"/>
  <c r="E81" i="10" l="1"/>
  <c r="D81" i="10"/>
  <c r="H81" i="10"/>
  <c r="R51" i="6"/>
  <c r="L51" i="6"/>
  <c r="P51" i="6" s="1"/>
  <c r="Q51" i="6" s="1"/>
  <c r="K50" i="6"/>
  <c r="A82" i="10"/>
  <c r="AD81" i="10"/>
  <c r="C82" i="10" s="1"/>
  <c r="E72" i="5"/>
  <c r="C73" i="5"/>
  <c r="D72" i="5"/>
  <c r="A81" i="6"/>
  <c r="X80" i="6"/>
  <c r="E78" i="3"/>
  <c r="I78" i="3"/>
  <c r="D78" i="3"/>
  <c r="C79" i="3"/>
  <c r="O80" i="6"/>
  <c r="I81" i="6"/>
  <c r="AF79" i="3"/>
  <c r="A80" i="3"/>
  <c r="D78" i="6"/>
  <c r="E78" i="6"/>
  <c r="F78" i="6" s="1"/>
  <c r="C79" i="6"/>
  <c r="U75" i="5"/>
  <c r="A76" i="5"/>
  <c r="AB77" i="3"/>
  <c r="D82" i="10" l="1"/>
  <c r="E82" i="10"/>
  <c r="H82" i="10"/>
  <c r="H50" i="6"/>
  <c r="J50" i="6"/>
  <c r="M50" i="6"/>
  <c r="V50" i="6"/>
  <c r="W50" i="6" s="1"/>
  <c r="C80" i="6"/>
  <c r="D79" i="6"/>
  <c r="E79" i="6"/>
  <c r="F79" i="6" s="1"/>
  <c r="X81" i="6"/>
  <c r="A82" i="6"/>
  <c r="S51" i="6"/>
  <c r="U51" i="6" s="1"/>
  <c r="AB78" i="3"/>
  <c r="U76" i="5"/>
  <c r="A77" i="5"/>
  <c r="A81" i="3"/>
  <c r="AF80" i="3"/>
  <c r="E73" i="5"/>
  <c r="C74" i="5"/>
  <c r="D73" i="5"/>
  <c r="O81" i="6"/>
  <c r="I82" i="6"/>
  <c r="E79" i="3"/>
  <c r="D79" i="3"/>
  <c r="I79" i="3"/>
  <c r="C80" i="3"/>
  <c r="A83" i="10"/>
  <c r="AD82" i="10"/>
  <c r="C83" i="10" s="1"/>
  <c r="H83" i="10" l="1"/>
  <c r="D83" i="10"/>
  <c r="E83" i="10"/>
  <c r="U77" i="5"/>
  <c r="A78" i="5"/>
  <c r="A84" i="10"/>
  <c r="AD83" i="10"/>
  <c r="C84" i="10" s="1"/>
  <c r="L50" i="6"/>
  <c r="P50" i="6" s="1"/>
  <c r="R50" i="6"/>
  <c r="K49" i="6"/>
  <c r="D74" i="5"/>
  <c r="E74" i="5"/>
  <c r="C75" i="5"/>
  <c r="A83" i="6"/>
  <c r="X82" i="6"/>
  <c r="O82" i="6"/>
  <c r="I83" i="6"/>
  <c r="E80" i="3"/>
  <c r="I80" i="3"/>
  <c r="C81" i="3"/>
  <c r="D80" i="3"/>
  <c r="A82" i="3"/>
  <c r="AF81" i="3"/>
  <c r="AB79" i="3"/>
  <c r="C81" i="6"/>
  <c r="D80" i="6"/>
  <c r="E80" i="6"/>
  <c r="F80" i="6" s="1"/>
  <c r="D84" i="10" l="1"/>
  <c r="E84" i="10"/>
  <c r="H84" i="10"/>
  <c r="E81" i="3"/>
  <c r="D81" i="3"/>
  <c r="I81" i="3"/>
  <c r="C82" i="3"/>
  <c r="Q50" i="6"/>
  <c r="S50" i="6" s="1"/>
  <c r="U50" i="6" s="1"/>
  <c r="A79" i="5"/>
  <c r="U78" i="5"/>
  <c r="X83" i="6"/>
  <c r="A84" i="6"/>
  <c r="A85" i="10"/>
  <c r="AD84" i="10"/>
  <c r="C85" i="10" s="1"/>
  <c r="H49" i="6"/>
  <c r="M49" i="6"/>
  <c r="J49" i="6"/>
  <c r="V49" i="6"/>
  <c r="W49" i="6" s="1"/>
  <c r="C82" i="6"/>
  <c r="D81" i="6"/>
  <c r="E81" i="6"/>
  <c r="F81" i="6" s="1"/>
  <c r="AB80" i="3"/>
  <c r="O83" i="6"/>
  <c r="I84" i="6"/>
  <c r="E75" i="5"/>
  <c r="C76" i="5"/>
  <c r="D75" i="5"/>
  <c r="A83" i="3"/>
  <c r="AF82" i="3"/>
  <c r="D85" i="10" l="1"/>
  <c r="H85" i="10"/>
  <c r="E85" i="10"/>
  <c r="AD85" i="10"/>
  <c r="C86" i="10" s="1"/>
  <c r="A86" i="10"/>
  <c r="E82" i="6"/>
  <c r="F82" i="6" s="1"/>
  <c r="D82" i="6"/>
  <c r="C83" i="6"/>
  <c r="AB81" i="3"/>
  <c r="E82" i="3"/>
  <c r="I82" i="3"/>
  <c r="D82" i="3"/>
  <c r="C83" i="3"/>
  <c r="AF83" i="3"/>
  <c r="A84" i="3"/>
  <c r="O84" i="6"/>
  <c r="I85" i="6"/>
  <c r="U79" i="5"/>
  <c r="A80" i="5"/>
  <c r="E76" i="5"/>
  <c r="C77" i="5"/>
  <c r="D76" i="5"/>
  <c r="L49" i="6"/>
  <c r="P49" i="6" s="1"/>
  <c r="R49" i="6"/>
  <c r="K48" i="6"/>
  <c r="A85" i="6"/>
  <c r="X84" i="6"/>
  <c r="H86" i="10" l="1"/>
  <c r="D86" i="10"/>
  <c r="E86" i="10"/>
  <c r="C87" i="10"/>
  <c r="A85" i="3"/>
  <c r="AF84" i="3"/>
  <c r="A87" i="10"/>
  <c r="AD86" i="10"/>
  <c r="E83" i="3"/>
  <c r="AB83" i="3" s="1"/>
  <c r="D83" i="3"/>
  <c r="I83" i="3"/>
  <c r="C84" i="3"/>
  <c r="D83" i="6"/>
  <c r="C84" i="6"/>
  <c r="E83" i="6"/>
  <c r="F83" i="6" s="1"/>
  <c r="H48" i="6"/>
  <c r="M48" i="6"/>
  <c r="J48" i="6"/>
  <c r="V48" i="6"/>
  <c r="W48" i="6" s="1"/>
  <c r="E77" i="5"/>
  <c r="C78" i="5"/>
  <c r="D77" i="5"/>
  <c r="I86" i="6"/>
  <c r="O85" i="6"/>
  <c r="X85" i="6"/>
  <c r="A86" i="6"/>
  <c r="Q49" i="6"/>
  <c r="S49" i="6" s="1"/>
  <c r="U49" i="6" s="1"/>
  <c r="A81" i="5"/>
  <c r="U80" i="5"/>
  <c r="AB82" i="3"/>
  <c r="AD87" i="10" l="1"/>
  <c r="A88" i="10"/>
  <c r="C85" i="6"/>
  <c r="D84" i="6"/>
  <c r="E84" i="6"/>
  <c r="F84" i="6" s="1"/>
  <c r="A82" i="5"/>
  <c r="U81" i="5"/>
  <c r="H87" i="10"/>
  <c r="E87" i="10"/>
  <c r="D87" i="10"/>
  <c r="C88" i="10"/>
  <c r="E78" i="5"/>
  <c r="D78" i="5"/>
  <c r="C79" i="5"/>
  <c r="E84" i="3"/>
  <c r="I84" i="3"/>
  <c r="C85" i="3"/>
  <c r="D84" i="3"/>
  <c r="O86" i="6"/>
  <c r="I87" i="6"/>
  <c r="A86" i="3"/>
  <c r="AF85" i="3"/>
  <c r="X86" i="6"/>
  <c r="A87" i="6"/>
  <c r="L48" i="6"/>
  <c r="P48" i="6" s="1"/>
  <c r="R48" i="6"/>
  <c r="K47" i="6"/>
  <c r="O87" i="6" l="1"/>
  <c r="I88" i="6"/>
  <c r="H88" i="10"/>
  <c r="D88" i="10"/>
  <c r="E88" i="10"/>
  <c r="A83" i="5"/>
  <c r="U82" i="5"/>
  <c r="E85" i="3"/>
  <c r="AB85" i="3" s="1"/>
  <c r="D85" i="3"/>
  <c r="I85" i="3"/>
  <c r="C86" i="3"/>
  <c r="AB84" i="3"/>
  <c r="D85" i="6"/>
  <c r="C86" i="6"/>
  <c r="E85" i="6"/>
  <c r="F85" i="6" s="1"/>
  <c r="A89" i="10"/>
  <c r="AD88" i="10"/>
  <c r="C89" i="10" s="1"/>
  <c r="H47" i="6"/>
  <c r="J47" i="6"/>
  <c r="M47" i="6"/>
  <c r="V47" i="6"/>
  <c r="W47" i="6" s="1"/>
  <c r="X87" i="6"/>
  <c r="A88" i="6"/>
  <c r="D79" i="5"/>
  <c r="C80" i="5"/>
  <c r="E79" i="5"/>
  <c r="Q48" i="6"/>
  <c r="S48" i="6" s="1"/>
  <c r="U48" i="6" s="1"/>
  <c r="A87" i="3"/>
  <c r="AF86" i="3"/>
  <c r="E89" i="10" l="1"/>
  <c r="D89" i="10"/>
  <c r="H89" i="10"/>
  <c r="U83" i="5"/>
  <c r="A84" i="5"/>
  <c r="AF87" i="3"/>
  <c r="A88" i="3"/>
  <c r="A90" i="10"/>
  <c r="AD89" i="10"/>
  <c r="C90" i="10" s="1"/>
  <c r="A89" i="6"/>
  <c r="X88" i="6"/>
  <c r="E86" i="6"/>
  <c r="F86" i="6" s="1"/>
  <c r="D86" i="6"/>
  <c r="C87" i="6"/>
  <c r="C81" i="5"/>
  <c r="D80" i="5"/>
  <c r="E80" i="5"/>
  <c r="L47" i="6"/>
  <c r="P47" i="6" s="1"/>
  <c r="R47" i="6"/>
  <c r="K46" i="6"/>
  <c r="O88" i="6"/>
  <c r="I89" i="6"/>
  <c r="E86" i="3"/>
  <c r="AB86" i="3" s="1"/>
  <c r="I86" i="3"/>
  <c r="D86" i="3"/>
  <c r="C87" i="3"/>
  <c r="H90" i="10" l="1"/>
  <c r="E90" i="10"/>
  <c r="D90" i="10"/>
  <c r="O89" i="6"/>
  <c r="I90" i="6"/>
  <c r="E81" i="5"/>
  <c r="D81" i="5"/>
  <c r="C82" i="5"/>
  <c r="E87" i="6"/>
  <c r="F87" i="6" s="1"/>
  <c r="C88" i="6"/>
  <c r="D87" i="6"/>
  <c r="A85" i="5"/>
  <c r="U84" i="5"/>
  <c r="A90" i="6"/>
  <c r="X89" i="6"/>
  <c r="A91" i="10"/>
  <c r="AD90" i="10"/>
  <c r="C91" i="10" s="1"/>
  <c r="AF88" i="3"/>
  <c r="A89" i="3"/>
  <c r="C88" i="3"/>
  <c r="I87" i="3"/>
  <c r="D87" i="3"/>
  <c r="E87" i="3"/>
  <c r="AB87" i="3" s="1"/>
  <c r="H46" i="6"/>
  <c r="M46" i="6"/>
  <c r="J46" i="6"/>
  <c r="V46" i="6"/>
  <c r="W46" i="6" s="1"/>
  <c r="Q47" i="6"/>
  <c r="S47" i="6" s="1"/>
  <c r="U47" i="6" s="1"/>
  <c r="H91" i="10" l="1"/>
  <c r="D91" i="10"/>
  <c r="E91" i="10"/>
  <c r="C92" i="10"/>
  <c r="O90" i="6"/>
  <c r="I91" i="6"/>
  <c r="U85" i="5"/>
  <c r="A86" i="5"/>
  <c r="D88" i="3"/>
  <c r="E88" i="3"/>
  <c r="AB88" i="3" s="1"/>
  <c r="C89" i="3"/>
  <c r="I88" i="3"/>
  <c r="X90" i="6"/>
  <c r="A91" i="6"/>
  <c r="C89" i="6"/>
  <c r="D88" i="6"/>
  <c r="E88" i="6"/>
  <c r="F88" i="6" s="1"/>
  <c r="A90" i="3"/>
  <c r="AF89" i="3"/>
  <c r="L46" i="6"/>
  <c r="P46" i="6" s="1"/>
  <c r="R46" i="6"/>
  <c r="K45" i="6"/>
  <c r="AD91" i="10"/>
  <c r="A92" i="10"/>
  <c r="E82" i="5"/>
  <c r="C83" i="5"/>
  <c r="D82" i="5"/>
  <c r="O91" i="6" l="1"/>
  <c r="I92" i="6"/>
  <c r="C90" i="3"/>
  <c r="I89" i="3"/>
  <c r="E89" i="3"/>
  <c r="AB89" i="3" s="1"/>
  <c r="D89" i="3"/>
  <c r="Q46" i="6"/>
  <c r="S46" i="6" s="1"/>
  <c r="U46" i="6" s="1"/>
  <c r="A91" i="3"/>
  <c r="AF90" i="3"/>
  <c r="H92" i="10"/>
  <c r="E92" i="10"/>
  <c r="C93" i="10"/>
  <c r="D92" i="10"/>
  <c r="H45" i="6"/>
  <c r="J45" i="6"/>
  <c r="M45" i="6"/>
  <c r="V45" i="6"/>
  <c r="W45" i="6" s="1"/>
  <c r="A87" i="5"/>
  <c r="U86" i="5"/>
  <c r="X91" i="6"/>
  <c r="A92" i="6"/>
  <c r="A93" i="10"/>
  <c r="AD92" i="10"/>
  <c r="E83" i="5"/>
  <c r="D83" i="5"/>
  <c r="C84" i="5"/>
  <c r="C90" i="6"/>
  <c r="E89" i="6"/>
  <c r="F89" i="6" s="1"/>
  <c r="D89" i="6"/>
  <c r="AD93" i="10" l="1"/>
  <c r="A94" i="10"/>
  <c r="C91" i="6"/>
  <c r="E90" i="6"/>
  <c r="F90" i="6" s="1"/>
  <c r="D90" i="6"/>
  <c r="E90" i="3"/>
  <c r="D90" i="3"/>
  <c r="C91" i="3"/>
  <c r="I90" i="3"/>
  <c r="U87" i="5"/>
  <c r="A88" i="5"/>
  <c r="I93" i="6"/>
  <c r="O92" i="6"/>
  <c r="E93" i="10"/>
  <c r="H93" i="10"/>
  <c r="C94" i="10"/>
  <c r="D93" i="10"/>
  <c r="A93" i="6"/>
  <c r="X92" i="6"/>
  <c r="AF91" i="3"/>
  <c r="A92" i="3"/>
  <c r="L45" i="6"/>
  <c r="P45" i="6" s="1"/>
  <c r="R45" i="6"/>
  <c r="Q45" i="6"/>
  <c r="S45" i="6" s="1"/>
  <c r="U45" i="6" s="1"/>
  <c r="K44" i="6"/>
  <c r="E84" i="5"/>
  <c r="C85" i="5"/>
  <c r="D84" i="5"/>
  <c r="E91" i="3" l="1"/>
  <c r="I91" i="3"/>
  <c r="D91" i="3"/>
  <c r="C92" i="3"/>
  <c r="AB90" i="3"/>
  <c r="O93" i="6"/>
  <c r="I94" i="6"/>
  <c r="A95" i="10"/>
  <c r="AD94" i="10"/>
  <c r="E85" i="5"/>
  <c r="D85" i="5"/>
  <c r="C86" i="5"/>
  <c r="H94" i="10"/>
  <c r="D94" i="10"/>
  <c r="C95" i="10"/>
  <c r="E94" i="10"/>
  <c r="A94" i="6"/>
  <c r="X93" i="6"/>
  <c r="A89" i="5"/>
  <c r="U88" i="5"/>
  <c r="C92" i="6"/>
  <c r="D91" i="6"/>
  <c r="E91" i="6"/>
  <c r="F91" i="6" s="1"/>
  <c r="A93" i="3"/>
  <c r="AF92" i="3"/>
  <c r="H44" i="6"/>
  <c r="J44" i="6"/>
  <c r="M44" i="6"/>
  <c r="V44" i="6"/>
  <c r="W44" i="6" s="1"/>
  <c r="A96" i="10" l="1"/>
  <c r="AD95" i="10"/>
  <c r="U89" i="5"/>
  <c r="A90" i="5"/>
  <c r="O94" i="6"/>
  <c r="I95" i="6"/>
  <c r="E95" i="10"/>
  <c r="H95" i="10"/>
  <c r="C96" i="10"/>
  <c r="D95" i="10"/>
  <c r="C93" i="6"/>
  <c r="D92" i="6"/>
  <c r="E92" i="6"/>
  <c r="F92" i="6" s="1"/>
  <c r="A95" i="6"/>
  <c r="X94" i="6"/>
  <c r="I92" i="3"/>
  <c r="D92" i="3"/>
  <c r="E92" i="3"/>
  <c r="AB92" i="3" s="1"/>
  <c r="C93" i="3"/>
  <c r="L44" i="6"/>
  <c r="P44" i="6" s="1"/>
  <c r="R44" i="6"/>
  <c r="Q44" i="6"/>
  <c r="S44" i="6" s="1"/>
  <c r="U44" i="6" s="1"/>
  <c r="K43" i="6"/>
  <c r="E86" i="5"/>
  <c r="C87" i="5"/>
  <c r="D86" i="5"/>
  <c r="AF93" i="3"/>
  <c r="A94" i="3"/>
  <c r="AB91" i="3"/>
  <c r="H43" i="6" l="1"/>
  <c r="J43" i="6"/>
  <c r="M43" i="6"/>
  <c r="V43" i="6"/>
  <c r="W43" i="6" s="1"/>
  <c r="C94" i="6"/>
  <c r="D93" i="6"/>
  <c r="E93" i="6"/>
  <c r="F93" i="6" s="1"/>
  <c r="H96" i="10"/>
  <c r="D96" i="10"/>
  <c r="E96" i="10"/>
  <c r="AF94" i="3"/>
  <c r="A95" i="3"/>
  <c r="A91" i="5"/>
  <c r="U90" i="5"/>
  <c r="D87" i="5"/>
  <c r="E87" i="5"/>
  <c r="C88" i="5"/>
  <c r="A96" i="6"/>
  <c r="X95" i="6"/>
  <c r="I93" i="3"/>
  <c r="D93" i="3"/>
  <c r="E93" i="3"/>
  <c r="AB93" i="3" s="1"/>
  <c r="C94" i="3"/>
  <c r="O95" i="6"/>
  <c r="I96" i="6"/>
  <c r="A97" i="10"/>
  <c r="AD96" i="10"/>
  <c r="C97" i="10" s="1"/>
  <c r="H97" i="10" l="1"/>
  <c r="D97" i="10"/>
  <c r="E97" i="10"/>
  <c r="C89" i="5"/>
  <c r="D88" i="5"/>
  <c r="E88" i="5"/>
  <c r="AF95" i="3"/>
  <c r="A96" i="3"/>
  <c r="E94" i="6"/>
  <c r="F94" i="6" s="1"/>
  <c r="D94" i="6"/>
  <c r="C95" i="6"/>
  <c r="A98" i="10"/>
  <c r="AD97" i="10"/>
  <c r="C98" i="10" s="1"/>
  <c r="O96" i="6"/>
  <c r="I97" i="6"/>
  <c r="X96" i="6"/>
  <c r="A97" i="6"/>
  <c r="U91" i="5"/>
  <c r="A92" i="5"/>
  <c r="R43" i="6"/>
  <c r="L43" i="6"/>
  <c r="P43" i="6" s="1"/>
  <c r="K42" i="6"/>
  <c r="C95" i="3"/>
  <c r="E94" i="3"/>
  <c r="D94" i="3"/>
  <c r="I94" i="3"/>
  <c r="E98" i="10" l="1"/>
  <c r="D98" i="10"/>
  <c r="H98" i="10"/>
  <c r="H42" i="6"/>
  <c r="J42" i="6"/>
  <c r="M42" i="6"/>
  <c r="V42" i="6"/>
  <c r="W42" i="6" s="1"/>
  <c r="A98" i="6"/>
  <c r="X97" i="6"/>
  <c r="E89" i="5"/>
  <c r="D89" i="5"/>
  <c r="C90" i="5"/>
  <c r="Q43" i="6"/>
  <c r="S43" i="6" s="1"/>
  <c r="U43" i="6" s="1"/>
  <c r="I98" i="6"/>
  <c r="O97" i="6"/>
  <c r="A99" i="10"/>
  <c r="AD98" i="10"/>
  <c r="C99" i="10" s="1"/>
  <c r="A93" i="5"/>
  <c r="U92" i="5"/>
  <c r="C96" i="6"/>
  <c r="D95" i="6"/>
  <c r="E95" i="6"/>
  <c r="F95" i="6" s="1"/>
  <c r="AB94" i="3"/>
  <c r="C96" i="3"/>
  <c r="I95" i="3"/>
  <c r="D95" i="3"/>
  <c r="E95" i="3"/>
  <c r="AB95" i="3" s="1"/>
  <c r="A97" i="3"/>
  <c r="AF96" i="3"/>
  <c r="E99" i="10" l="1"/>
  <c r="D99" i="10"/>
  <c r="H99" i="10"/>
  <c r="U93" i="5"/>
  <c r="A94" i="5"/>
  <c r="AD99" i="10"/>
  <c r="C100" i="10" s="1"/>
  <c r="A100" i="10"/>
  <c r="AF97" i="3"/>
  <c r="A98" i="3"/>
  <c r="R42" i="6"/>
  <c r="L42" i="6"/>
  <c r="P42" i="6" s="1"/>
  <c r="K41" i="6"/>
  <c r="C97" i="6"/>
  <c r="D96" i="6"/>
  <c r="E96" i="6"/>
  <c r="F96" i="6" s="1"/>
  <c r="I99" i="6"/>
  <c r="O98" i="6"/>
  <c r="I96" i="3"/>
  <c r="E96" i="3"/>
  <c r="AB96" i="3" s="1"/>
  <c r="C97" i="3"/>
  <c r="D96" i="3"/>
  <c r="E90" i="5"/>
  <c r="C91" i="5"/>
  <c r="D90" i="5"/>
  <c r="A99" i="6"/>
  <c r="X98" i="6"/>
  <c r="H100" i="10" l="1"/>
  <c r="E100" i="10"/>
  <c r="D100" i="10"/>
  <c r="U94" i="5"/>
  <c r="A95" i="5"/>
  <c r="Q42" i="6"/>
  <c r="S42" i="6" s="1"/>
  <c r="U42" i="6" s="1"/>
  <c r="A99" i="3"/>
  <c r="AF98" i="3"/>
  <c r="O99" i="6"/>
  <c r="I100" i="6"/>
  <c r="A101" i="10"/>
  <c r="AD100" i="10"/>
  <c r="C101" i="10" s="1"/>
  <c r="A100" i="6"/>
  <c r="X99" i="6"/>
  <c r="C98" i="6"/>
  <c r="D97" i="6"/>
  <c r="E97" i="6"/>
  <c r="F97" i="6" s="1"/>
  <c r="C92" i="5"/>
  <c r="D91" i="5"/>
  <c r="E91" i="5"/>
  <c r="I97" i="3"/>
  <c r="D97" i="3"/>
  <c r="E97" i="3"/>
  <c r="C98" i="3"/>
  <c r="H41" i="6"/>
  <c r="J41" i="6"/>
  <c r="M41" i="6"/>
  <c r="V41" i="6"/>
  <c r="W41" i="6" s="1"/>
  <c r="D101" i="10" l="1"/>
  <c r="H101" i="10"/>
  <c r="E101" i="10"/>
  <c r="O100" i="6"/>
  <c r="I101" i="6"/>
  <c r="U95" i="5"/>
  <c r="A96" i="5"/>
  <c r="AF99" i="3"/>
  <c r="A100" i="3"/>
  <c r="L41" i="6"/>
  <c r="P41" i="6" s="1"/>
  <c r="Q41" i="6"/>
  <c r="R41" i="6"/>
  <c r="K40" i="6"/>
  <c r="A102" i="10"/>
  <c r="AD101" i="10"/>
  <c r="C102" i="10" s="1"/>
  <c r="E92" i="5"/>
  <c r="D92" i="5"/>
  <c r="C93" i="5"/>
  <c r="C99" i="3"/>
  <c r="E98" i="3"/>
  <c r="AB98" i="3" s="1"/>
  <c r="I98" i="3"/>
  <c r="D98" i="3"/>
  <c r="AB97" i="3"/>
  <c r="C99" i="6"/>
  <c r="E98" i="6"/>
  <c r="F98" i="6" s="1"/>
  <c r="D98" i="6"/>
  <c r="A101" i="6"/>
  <c r="X100" i="6"/>
  <c r="D102" i="10" l="1"/>
  <c r="E102" i="10"/>
  <c r="C103" i="10"/>
  <c r="H102" i="10"/>
  <c r="C100" i="3"/>
  <c r="I99" i="3"/>
  <c r="D99" i="3"/>
  <c r="E99" i="3"/>
  <c r="AB99" i="3" s="1"/>
  <c r="A101" i="3"/>
  <c r="AF100" i="3"/>
  <c r="D93" i="5"/>
  <c r="C94" i="5"/>
  <c r="E93" i="5"/>
  <c r="A97" i="5"/>
  <c r="U96" i="5"/>
  <c r="A103" i="10"/>
  <c r="AD102" i="10"/>
  <c r="O101" i="6"/>
  <c r="I102" i="6"/>
  <c r="A102" i="6"/>
  <c r="X101" i="6"/>
  <c r="C100" i="6"/>
  <c r="D99" i="6"/>
  <c r="E99" i="6"/>
  <c r="F99" i="6" s="1"/>
  <c r="H40" i="6"/>
  <c r="J40" i="6"/>
  <c r="M40" i="6"/>
  <c r="V40" i="6"/>
  <c r="W40" i="6" s="1"/>
  <c r="S41" i="6"/>
  <c r="U41" i="6" s="1"/>
  <c r="A103" i="6" l="1"/>
  <c r="X102" i="6"/>
  <c r="C101" i="6"/>
  <c r="D100" i="6"/>
  <c r="E100" i="6"/>
  <c r="F100" i="6" s="1"/>
  <c r="O102" i="6"/>
  <c r="I103" i="6"/>
  <c r="U97" i="5"/>
  <c r="A98" i="5"/>
  <c r="A104" i="10"/>
  <c r="AD103" i="10"/>
  <c r="C104" i="10" s="1"/>
  <c r="D100" i="3"/>
  <c r="C101" i="3"/>
  <c r="E100" i="3"/>
  <c r="I100" i="3"/>
  <c r="D103" i="10"/>
  <c r="E103" i="10"/>
  <c r="H103" i="10"/>
  <c r="L40" i="6"/>
  <c r="P40" i="6" s="1"/>
  <c r="Q40" i="6"/>
  <c r="R40" i="6"/>
  <c r="K39" i="6"/>
  <c r="C95" i="5"/>
  <c r="E94" i="5"/>
  <c r="D94" i="5"/>
  <c r="AF101" i="3"/>
  <c r="A102" i="3"/>
  <c r="H104" i="10" l="1"/>
  <c r="E104" i="10"/>
  <c r="D104" i="10"/>
  <c r="S40" i="6"/>
  <c r="U40" i="6" s="1"/>
  <c r="AB100" i="3"/>
  <c r="C102" i="6"/>
  <c r="D101" i="6"/>
  <c r="E101" i="6"/>
  <c r="F101" i="6" s="1"/>
  <c r="A105" i="10"/>
  <c r="AD104" i="10"/>
  <c r="C105" i="10" s="1"/>
  <c r="I104" i="6"/>
  <c r="O103" i="6"/>
  <c r="H39" i="6"/>
  <c r="M39" i="6"/>
  <c r="J39" i="6"/>
  <c r="V39" i="6"/>
  <c r="W39" i="6" s="1"/>
  <c r="U98" i="5"/>
  <c r="A99" i="5"/>
  <c r="I101" i="3"/>
  <c r="D101" i="3"/>
  <c r="E101" i="3"/>
  <c r="C102" i="3"/>
  <c r="A103" i="3"/>
  <c r="AF102" i="3"/>
  <c r="E95" i="5"/>
  <c r="C96" i="5"/>
  <c r="D95" i="5"/>
  <c r="A104" i="6"/>
  <c r="X103" i="6"/>
  <c r="D105" i="10" l="1"/>
  <c r="E105" i="10"/>
  <c r="H105" i="10"/>
  <c r="E102" i="6"/>
  <c r="F102" i="6" s="1"/>
  <c r="D102" i="6"/>
  <c r="C103" i="6"/>
  <c r="L39" i="6"/>
  <c r="P39" i="6" s="1"/>
  <c r="Q39" i="6"/>
  <c r="R39" i="6"/>
  <c r="K38" i="6"/>
  <c r="AF103" i="3"/>
  <c r="A104" i="3"/>
  <c r="A100" i="5"/>
  <c r="U99" i="5"/>
  <c r="O104" i="6"/>
  <c r="I105" i="6"/>
  <c r="D96" i="5"/>
  <c r="E96" i="5"/>
  <c r="C97" i="5"/>
  <c r="I102" i="3"/>
  <c r="C103" i="3"/>
  <c r="E102" i="3"/>
  <c r="D102" i="3"/>
  <c r="AD105" i="10"/>
  <c r="C106" i="10" s="1"/>
  <c r="A106" i="10"/>
  <c r="X104" i="6"/>
  <c r="A105" i="6"/>
  <c r="AB101" i="3"/>
  <c r="H106" i="10" l="1"/>
  <c r="E106" i="10"/>
  <c r="D106" i="10"/>
  <c r="C107" i="10"/>
  <c r="E97" i="5"/>
  <c r="D97" i="5"/>
  <c r="C98" i="5"/>
  <c r="A106" i="6"/>
  <c r="X105" i="6"/>
  <c r="A107" i="10"/>
  <c r="AD106" i="10"/>
  <c r="C104" i="6"/>
  <c r="D103" i="6"/>
  <c r="E103" i="6"/>
  <c r="F103" i="6" s="1"/>
  <c r="I106" i="6"/>
  <c r="O105" i="6"/>
  <c r="H38" i="6"/>
  <c r="J38" i="6"/>
  <c r="M38" i="6"/>
  <c r="V38" i="6"/>
  <c r="W38" i="6" s="1"/>
  <c r="AF104" i="3"/>
  <c r="A105" i="3"/>
  <c r="AB102" i="3"/>
  <c r="S39" i="6"/>
  <c r="U39" i="6" s="1"/>
  <c r="A101" i="5"/>
  <c r="U100" i="5"/>
  <c r="C104" i="3"/>
  <c r="I103" i="3"/>
  <c r="D103" i="3"/>
  <c r="E103" i="3"/>
  <c r="AB103" i="3" s="1"/>
  <c r="X106" i="6" l="1"/>
  <c r="A107" i="6"/>
  <c r="R38" i="6"/>
  <c r="Q38" i="6"/>
  <c r="L38" i="6"/>
  <c r="P38" i="6" s="1"/>
  <c r="K37" i="6"/>
  <c r="D98" i="5"/>
  <c r="C99" i="5"/>
  <c r="E98" i="5"/>
  <c r="AD107" i="10"/>
  <c r="C108" i="10" s="1"/>
  <c r="A108" i="10"/>
  <c r="E107" i="10"/>
  <c r="H107" i="10"/>
  <c r="D107" i="10"/>
  <c r="O106" i="6"/>
  <c r="I107" i="6"/>
  <c r="C105" i="6"/>
  <c r="D104" i="6"/>
  <c r="E104" i="6"/>
  <c r="F104" i="6" s="1"/>
  <c r="U101" i="5"/>
  <c r="A102" i="5"/>
  <c r="C105" i="3"/>
  <c r="D104" i="3"/>
  <c r="I104" i="3"/>
  <c r="E104" i="3"/>
  <c r="AF105" i="3"/>
  <c r="A106" i="3"/>
  <c r="H108" i="10" l="1"/>
  <c r="E108" i="10"/>
  <c r="D108" i="10"/>
  <c r="A109" i="10"/>
  <c r="AD108" i="10"/>
  <c r="C109" i="10" s="1"/>
  <c r="I105" i="3"/>
  <c r="D105" i="3"/>
  <c r="E105" i="3"/>
  <c r="AB105" i="3" s="1"/>
  <c r="C106" i="3"/>
  <c r="D99" i="5"/>
  <c r="E99" i="5"/>
  <c r="C100" i="5"/>
  <c r="D105" i="6"/>
  <c r="E105" i="6"/>
  <c r="F105" i="6" s="1"/>
  <c r="C106" i="6"/>
  <c r="A107" i="3"/>
  <c r="AF106" i="3"/>
  <c r="A108" i="6"/>
  <c r="X107" i="6"/>
  <c r="AB104" i="3"/>
  <c r="U102" i="5"/>
  <c r="A103" i="5"/>
  <c r="H37" i="6"/>
  <c r="J37" i="6"/>
  <c r="M37" i="6"/>
  <c r="V37" i="6"/>
  <c r="W37" i="6" s="1"/>
  <c r="O107" i="6"/>
  <c r="I108" i="6"/>
  <c r="S38" i="6"/>
  <c r="U38" i="6" s="1"/>
  <c r="D109" i="10" l="1"/>
  <c r="E109" i="10"/>
  <c r="H109" i="10"/>
  <c r="E106" i="6"/>
  <c r="F106" i="6" s="1"/>
  <c r="C107" i="6"/>
  <c r="D106" i="6"/>
  <c r="L37" i="6"/>
  <c r="P37" i="6" s="1"/>
  <c r="R37" i="6"/>
  <c r="K36" i="6"/>
  <c r="A110" i="10"/>
  <c r="AD109" i="10"/>
  <c r="C110" i="10" s="1"/>
  <c r="I106" i="3"/>
  <c r="C107" i="3"/>
  <c r="E106" i="3"/>
  <c r="D106" i="3"/>
  <c r="AF107" i="3"/>
  <c r="A108" i="3"/>
  <c r="D100" i="5"/>
  <c r="E100" i="5"/>
  <c r="C101" i="5"/>
  <c r="A104" i="5"/>
  <c r="U103" i="5"/>
  <c r="I109" i="6"/>
  <c r="O108" i="6"/>
  <c r="X108" i="6"/>
  <c r="A109" i="6"/>
  <c r="H110" i="10" l="1"/>
  <c r="D110" i="10"/>
  <c r="E110" i="10"/>
  <c r="A110" i="6"/>
  <c r="X109" i="6"/>
  <c r="E101" i="5"/>
  <c r="D101" i="5"/>
  <c r="C102" i="5"/>
  <c r="AB106" i="3"/>
  <c r="A105" i="5"/>
  <c r="U104" i="5"/>
  <c r="H36" i="6"/>
  <c r="M36" i="6"/>
  <c r="J36" i="6"/>
  <c r="V36" i="6"/>
  <c r="W36" i="6" s="1"/>
  <c r="C108" i="3"/>
  <c r="I107" i="3"/>
  <c r="D107" i="3"/>
  <c r="E107" i="3"/>
  <c r="AB107" i="3" s="1"/>
  <c r="A111" i="10"/>
  <c r="AD110" i="10"/>
  <c r="C111" i="10" s="1"/>
  <c r="I110" i="6"/>
  <c r="O109" i="6"/>
  <c r="A109" i="3"/>
  <c r="AF108" i="3"/>
  <c r="E107" i="6"/>
  <c r="F107" i="6" s="1"/>
  <c r="C108" i="6"/>
  <c r="D107" i="6"/>
  <c r="Q37" i="6"/>
  <c r="S37" i="6" s="1"/>
  <c r="U37" i="6" s="1"/>
  <c r="E111" i="10" l="1"/>
  <c r="D111" i="10"/>
  <c r="H111" i="10"/>
  <c r="E102" i="5"/>
  <c r="C103" i="5"/>
  <c r="D102" i="5"/>
  <c r="A111" i="6"/>
  <c r="X110" i="6"/>
  <c r="A112" i="10"/>
  <c r="AD111" i="10"/>
  <c r="C112" i="10" s="1"/>
  <c r="D108" i="6"/>
  <c r="E108" i="6"/>
  <c r="F108" i="6" s="1"/>
  <c r="C109" i="6"/>
  <c r="D108" i="3"/>
  <c r="E108" i="3"/>
  <c r="AB108" i="3" s="1"/>
  <c r="C109" i="3"/>
  <c r="I108" i="3"/>
  <c r="I111" i="6"/>
  <c r="O110" i="6"/>
  <c r="AF109" i="3"/>
  <c r="A110" i="3"/>
  <c r="R36" i="6"/>
  <c r="L36" i="6"/>
  <c r="P36" i="6" s="1"/>
  <c r="K35" i="6"/>
  <c r="U105" i="5"/>
  <c r="A106" i="5"/>
  <c r="E112" i="10" l="1"/>
  <c r="D112" i="10"/>
  <c r="H112" i="10"/>
  <c r="A112" i="6"/>
  <c r="X111" i="6"/>
  <c r="I112" i="6"/>
  <c r="O111" i="6"/>
  <c r="A113" i="10"/>
  <c r="AD112" i="10"/>
  <c r="C113" i="10" s="1"/>
  <c r="I109" i="3"/>
  <c r="D109" i="3"/>
  <c r="E109" i="3"/>
  <c r="AB109" i="3" s="1"/>
  <c r="C110" i="3"/>
  <c r="U106" i="5"/>
  <c r="A107" i="5"/>
  <c r="H35" i="6"/>
  <c r="M35" i="6"/>
  <c r="J35" i="6"/>
  <c r="V35" i="6"/>
  <c r="W35" i="6" s="1"/>
  <c r="Q36" i="6"/>
  <c r="S36" i="6" s="1"/>
  <c r="U36" i="6" s="1"/>
  <c r="A111" i="3"/>
  <c r="AF110" i="3"/>
  <c r="C110" i="6"/>
  <c r="D109" i="6"/>
  <c r="E109" i="6"/>
  <c r="F109" i="6" s="1"/>
  <c r="D103" i="5"/>
  <c r="E103" i="5"/>
  <c r="C104" i="5"/>
  <c r="D113" i="10" l="1"/>
  <c r="E113" i="10"/>
  <c r="H113" i="10"/>
  <c r="A108" i="5"/>
  <c r="U107" i="5"/>
  <c r="X112" i="6"/>
  <c r="A113" i="6"/>
  <c r="E110" i="6"/>
  <c r="F110" i="6" s="1"/>
  <c r="C111" i="6"/>
  <c r="D110" i="6"/>
  <c r="I113" i="6"/>
  <c r="O112" i="6"/>
  <c r="AD113" i="10"/>
  <c r="C114" i="10" s="1"/>
  <c r="A114" i="10"/>
  <c r="R35" i="6"/>
  <c r="L35" i="6"/>
  <c r="P35" i="6" s="1"/>
  <c r="Q35" i="6"/>
  <c r="S35" i="6" s="1"/>
  <c r="U35" i="6" s="1"/>
  <c r="K34" i="6"/>
  <c r="C111" i="3"/>
  <c r="E110" i="3"/>
  <c r="D110" i="3"/>
  <c r="I110" i="3"/>
  <c r="AF111" i="3"/>
  <c r="A112" i="3"/>
  <c r="C105" i="5"/>
  <c r="D104" i="5"/>
  <c r="E104" i="5"/>
  <c r="E114" i="10" l="1"/>
  <c r="H114" i="10"/>
  <c r="D114" i="10"/>
  <c r="O113" i="6"/>
  <c r="I114" i="6"/>
  <c r="H34" i="6"/>
  <c r="M34" i="6"/>
  <c r="J34" i="6"/>
  <c r="V34" i="6"/>
  <c r="W34" i="6" s="1"/>
  <c r="E111" i="6"/>
  <c r="F111" i="6" s="1"/>
  <c r="C112" i="6"/>
  <c r="D111" i="6"/>
  <c r="C112" i="3"/>
  <c r="I111" i="3"/>
  <c r="D111" i="3"/>
  <c r="E111" i="3"/>
  <c r="A109" i="5"/>
  <c r="U108" i="5"/>
  <c r="A113" i="3"/>
  <c r="AF112" i="3"/>
  <c r="A115" i="10"/>
  <c r="AD114" i="10"/>
  <c r="C115" i="10" s="1"/>
  <c r="AB110" i="3"/>
  <c r="A114" i="6"/>
  <c r="X113" i="6"/>
  <c r="E105" i="5"/>
  <c r="D105" i="5"/>
  <c r="C106" i="5"/>
  <c r="E115" i="10" l="1"/>
  <c r="D115" i="10"/>
  <c r="H115" i="10"/>
  <c r="I112" i="3"/>
  <c r="E112" i="3"/>
  <c r="C113" i="3"/>
  <c r="D112" i="3"/>
  <c r="O114" i="6"/>
  <c r="I115" i="6"/>
  <c r="U109" i="5"/>
  <c r="A110" i="5"/>
  <c r="AD115" i="10"/>
  <c r="C116" i="10" s="1"/>
  <c r="A116" i="10"/>
  <c r="D106" i="5"/>
  <c r="C107" i="5"/>
  <c r="E106" i="5"/>
  <c r="D112" i="6"/>
  <c r="E112" i="6"/>
  <c r="F112" i="6" s="1"/>
  <c r="C113" i="6"/>
  <c r="A115" i="6"/>
  <c r="X114" i="6"/>
  <c r="AB111" i="3"/>
  <c r="Q34" i="6"/>
  <c r="S34" i="6" s="1"/>
  <c r="U34" i="6" s="1"/>
  <c r="L34" i="6"/>
  <c r="P34" i="6" s="1"/>
  <c r="R34" i="6"/>
  <c r="K33" i="6"/>
  <c r="AF113" i="3"/>
  <c r="A114" i="3"/>
  <c r="D116" i="10" l="1"/>
  <c r="E116" i="10"/>
  <c r="H116" i="10"/>
  <c r="A111" i="5"/>
  <c r="U110" i="5"/>
  <c r="I113" i="3"/>
  <c r="D113" i="3"/>
  <c r="E113" i="3"/>
  <c r="C114" i="3"/>
  <c r="AB112" i="3"/>
  <c r="H33" i="6"/>
  <c r="M33" i="6"/>
  <c r="J33" i="6"/>
  <c r="V33" i="6"/>
  <c r="W33" i="6" s="1"/>
  <c r="D107" i="5"/>
  <c r="E107" i="5"/>
  <c r="C108" i="5"/>
  <c r="A116" i="6"/>
  <c r="X115" i="6"/>
  <c r="C114" i="6"/>
  <c r="D113" i="6"/>
  <c r="E113" i="6"/>
  <c r="F113" i="6" s="1"/>
  <c r="A117" i="10"/>
  <c r="AD116" i="10"/>
  <c r="C117" i="10" s="1"/>
  <c r="I116" i="6"/>
  <c r="O115" i="6"/>
  <c r="A115" i="3"/>
  <c r="AF114" i="3"/>
  <c r="D117" i="10" l="1"/>
  <c r="H117" i="10"/>
  <c r="E117" i="10"/>
  <c r="X116" i="6"/>
  <c r="A117" i="6"/>
  <c r="AB113" i="3"/>
  <c r="U111" i="5"/>
  <c r="A112" i="5"/>
  <c r="D108" i="5"/>
  <c r="E108" i="5"/>
  <c r="C109" i="5"/>
  <c r="E114" i="6"/>
  <c r="F114" i="6" s="1"/>
  <c r="C115" i="6"/>
  <c r="D114" i="6"/>
  <c r="AF115" i="3"/>
  <c r="A116" i="3"/>
  <c r="I117" i="6"/>
  <c r="O116" i="6"/>
  <c r="R33" i="6"/>
  <c r="L33" i="6"/>
  <c r="P33" i="6" s="1"/>
  <c r="Q33" i="6"/>
  <c r="K32" i="6"/>
  <c r="C115" i="3"/>
  <c r="E114" i="3"/>
  <c r="AB114" i="3" s="1"/>
  <c r="D114" i="3"/>
  <c r="I114" i="3"/>
  <c r="AD117" i="10"/>
  <c r="C118" i="10" s="1"/>
  <c r="A118" i="10"/>
  <c r="D118" i="10" l="1"/>
  <c r="H118" i="10"/>
  <c r="E118" i="10"/>
  <c r="C116" i="3"/>
  <c r="I115" i="3"/>
  <c r="D115" i="3"/>
  <c r="E115" i="3"/>
  <c r="AB115" i="3" s="1"/>
  <c r="A119" i="10"/>
  <c r="AD118" i="10"/>
  <c r="C119" i="10" s="1"/>
  <c r="H32" i="6"/>
  <c r="M32" i="6"/>
  <c r="J32" i="6"/>
  <c r="V32" i="6"/>
  <c r="W32" i="6" s="1"/>
  <c r="E115" i="6"/>
  <c r="F115" i="6" s="1"/>
  <c r="C116" i="6"/>
  <c r="D115" i="6"/>
  <c r="A113" i="5"/>
  <c r="U112" i="5"/>
  <c r="E109" i="5"/>
  <c r="D109" i="5"/>
  <c r="C110" i="5"/>
  <c r="S33" i="6"/>
  <c r="U33" i="6" s="1"/>
  <c r="O117" i="6"/>
  <c r="I118" i="6"/>
  <c r="AF116" i="3"/>
  <c r="A117" i="3"/>
  <c r="X117" i="6"/>
  <c r="A118" i="6"/>
  <c r="D119" i="10" l="1"/>
  <c r="H119" i="10"/>
  <c r="E119" i="10"/>
  <c r="E116" i="6"/>
  <c r="F116" i="6" s="1"/>
  <c r="C117" i="6"/>
  <c r="D116" i="6"/>
  <c r="I119" i="6"/>
  <c r="O118" i="6"/>
  <c r="I116" i="3"/>
  <c r="E116" i="3"/>
  <c r="AB116" i="3" s="1"/>
  <c r="C117" i="3"/>
  <c r="D116" i="3"/>
  <c r="X118" i="6"/>
  <c r="A119" i="6"/>
  <c r="Q32" i="6"/>
  <c r="S32" i="6" s="1"/>
  <c r="U32" i="6" s="1"/>
  <c r="R32" i="6"/>
  <c r="L32" i="6"/>
  <c r="P32" i="6" s="1"/>
  <c r="K31" i="6"/>
  <c r="A118" i="3"/>
  <c r="AF117" i="3"/>
  <c r="A120" i="10"/>
  <c r="AD119" i="10"/>
  <c r="C120" i="10" s="1"/>
  <c r="E110" i="5"/>
  <c r="D110" i="5"/>
  <c r="C111" i="5"/>
  <c r="U113" i="5"/>
  <c r="A114" i="5"/>
  <c r="D120" i="10" l="1"/>
  <c r="E120" i="10"/>
  <c r="H120" i="10"/>
  <c r="O119" i="6"/>
  <c r="I120" i="6"/>
  <c r="A120" i="6"/>
  <c r="X119" i="6"/>
  <c r="D117" i="6"/>
  <c r="E117" i="6"/>
  <c r="F117" i="6" s="1"/>
  <c r="C118" i="6"/>
  <c r="I117" i="3"/>
  <c r="E117" i="3"/>
  <c r="C118" i="3"/>
  <c r="D117" i="3"/>
  <c r="A121" i="10"/>
  <c r="AD120" i="10"/>
  <c r="C121" i="10" s="1"/>
  <c r="A115" i="5"/>
  <c r="U114" i="5"/>
  <c r="AF118" i="3"/>
  <c r="A119" i="3"/>
  <c r="C112" i="5"/>
  <c r="D111" i="5"/>
  <c r="E111" i="5"/>
  <c r="H31" i="6"/>
  <c r="M31" i="6"/>
  <c r="J31" i="6"/>
  <c r="V31" i="6"/>
  <c r="W31" i="6" s="1"/>
  <c r="E121" i="10" l="1"/>
  <c r="H121" i="10"/>
  <c r="D121" i="10"/>
  <c r="E118" i="6"/>
  <c r="F118" i="6" s="1"/>
  <c r="D118" i="6"/>
  <c r="C119" i="6"/>
  <c r="A121" i="6"/>
  <c r="X120" i="6"/>
  <c r="U115" i="5"/>
  <c r="A116" i="5"/>
  <c r="A120" i="3"/>
  <c r="AF119" i="3"/>
  <c r="A122" i="10"/>
  <c r="AD121" i="10"/>
  <c r="C122" i="10" s="1"/>
  <c r="C113" i="5"/>
  <c r="D112" i="5"/>
  <c r="E112" i="5"/>
  <c r="I121" i="6"/>
  <c r="O120" i="6"/>
  <c r="E118" i="3"/>
  <c r="AB118" i="3" s="1"/>
  <c r="I118" i="3"/>
  <c r="C119" i="3"/>
  <c r="D118" i="3"/>
  <c r="R31" i="6"/>
  <c r="Q31" i="6"/>
  <c r="S31" i="6" s="1"/>
  <c r="U31" i="6" s="1"/>
  <c r="L31" i="6"/>
  <c r="P31" i="6" s="1"/>
  <c r="K30" i="6"/>
  <c r="AB117" i="3"/>
  <c r="H122" i="10" l="1"/>
  <c r="D122" i="10"/>
  <c r="E122" i="10"/>
  <c r="A123" i="10"/>
  <c r="AD122" i="10"/>
  <c r="C123" i="10" s="1"/>
  <c r="E113" i="5"/>
  <c r="D113" i="5"/>
  <c r="C114" i="5"/>
  <c r="A117" i="5"/>
  <c r="U116" i="5"/>
  <c r="A122" i="6"/>
  <c r="X121" i="6"/>
  <c r="C120" i="3"/>
  <c r="E119" i="3"/>
  <c r="AB119" i="3" s="1"/>
  <c r="D119" i="3"/>
  <c r="I119" i="3"/>
  <c r="E119" i="6"/>
  <c r="F119" i="6" s="1"/>
  <c r="D119" i="6"/>
  <c r="C120" i="6"/>
  <c r="AF120" i="3"/>
  <c r="A121" i="3"/>
  <c r="H30" i="6"/>
  <c r="J30" i="6"/>
  <c r="M30" i="6"/>
  <c r="V30" i="6"/>
  <c r="W30" i="6" s="1"/>
  <c r="I122" i="6"/>
  <c r="O122" i="6" s="1"/>
  <c r="O121" i="6"/>
  <c r="D123" i="10" l="1"/>
  <c r="E123" i="10"/>
  <c r="H123" i="10"/>
  <c r="A118" i="5"/>
  <c r="U117" i="5"/>
  <c r="L30" i="6"/>
  <c r="P30" i="6" s="1"/>
  <c r="R30" i="6"/>
  <c r="Q30" i="6"/>
  <c r="S30" i="6" s="1"/>
  <c r="U30" i="6" s="1"/>
  <c r="K29" i="6"/>
  <c r="E114" i="5"/>
  <c r="D114" i="5"/>
  <c r="C115" i="5"/>
  <c r="E120" i="3"/>
  <c r="D120" i="3"/>
  <c r="I120" i="3"/>
  <c r="C121" i="3"/>
  <c r="D120" i="6"/>
  <c r="E120" i="6"/>
  <c r="F120" i="6" s="1"/>
  <c r="C121" i="6"/>
  <c r="A124" i="10"/>
  <c r="AD123" i="10"/>
  <c r="C124" i="10" s="1"/>
  <c r="A122" i="3"/>
  <c r="AF121" i="3"/>
  <c r="K122" i="6"/>
  <c r="X122" i="6"/>
  <c r="B122" i="6"/>
  <c r="B121" i="6" s="1"/>
  <c r="B120" i="6" s="1"/>
  <c r="B119" i="6" s="1"/>
  <c r="B118" i="6" s="1"/>
  <c r="B117" i="6" s="1"/>
  <c r="B116" i="6" s="1"/>
  <c r="B115" i="6" s="1"/>
  <c r="B114" i="6" s="1"/>
  <c r="B113" i="6" s="1"/>
  <c r="B112" i="6" s="1"/>
  <c r="B111" i="6" s="1"/>
  <c r="B110" i="6" s="1"/>
  <c r="B109" i="6" s="1"/>
  <c r="B108" i="6" s="1"/>
  <c r="B107" i="6" s="1"/>
  <c r="B106" i="6" s="1"/>
  <c r="B105" i="6" s="1"/>
  <c r="B104" i="6" s="1"/>
  <c r="B103" i="6" s="1"/>
  <c r="B102" i="6" s="1"/>
  <c r="B101" i="6" s="1"/>
  <c r="B100" i="6" s="1"/>
  <c r="B99" i="6" s="1"/>
  <c r="B98" i="6" s="1"/>
  <c r="B97" i="6" s="1"/>
  <c r="B96" i="6" s="1"/>
  <c r="B95" i="6" s="1"/>
  <c r="B94" i="6" s="1"/>
  <c r="B93" i="6" s="1"/>
  <c r="B92" i="6" s="1"/>
  <c r="B91" i="6" s="1"/>
  <c r="B90" i="6" s="1"/>
  <c r="B89" i="6" s="1"/>
  <c r="B88" i="6" s="1"/>
  <c r="B87" i="6" s="1"/>
  <c r="B86" i="6" s="1"/>
  <c r="B85" i="6" s="1"/>
  <c r="B84" i="6" s="1"/>
  <c r="B83" i="6" s="1"/>
  <c r="B82" i="6" s="1"/>
  <c r="B81" i="6" s="1"/>
  <c r="B80" i="6" s="1"/>
  <c r="B79" i="6" s="1"/>
  <c r="B78" i="6" s="1"/>
  <c r="B77" i="6" s="1"/>
  <c r="B76" i="6" s="1"/>
  <c r="B75" i="6" s="1"/>
  <c r="B74" i="6" s="1"/>
  <c r="B73" i="6" s="1"/>
  <c r="B72" i="6" s="1"/>
  <c r="B71" i="6" s="1"/>
  <c r="B70" i="6" s="1"/>
  <c r="B69" i="6" s="1"/>
  <c r="B68" i="6" s="1"/>
  <c r="B67" i="6" s="1"/>
  <c r="B66" i="6" s="1"/>
  <c r="B65" i="6" s="1"/>
  <c r="B64" i="6" s="1"/>
  <c r="B63" i="6" s="1"/>
  <c r="B62" i="6" s="1"/>
  <c r="B61" i="6" s="1"/>
  <c r="L13" i="6"/>
  <c r="D124" i="10" l="1"/>
  <c r="E124" i="10"/>
  <c r="H124" i="10"/>
  <c r="I121" i="3"/>
  <c r="D121" i="3"/>
  <c r="E121" i="3"/>
  <c r="AB121" i="3" s="1"/>
  <c r="C122" i="3"/>
  <c r="G118" i="5"/>
  <c r="U118" i="5"/>
  <c r="B118" i="5"/>
  <c r="B117" i="5" s="1"/>
  <c r="B116" i="5" s="1"/>
  <c r="B115" i="5" s="1"/>
  <c r="B114" i="5" s="1"/>
  <c r="B113" i="5" s="1"/>
  <c r="B112" i="5" s="1"/>
  <c r="B111" i="5" s="1"/>
  <c r="B110" i="5" s="1"/>
  <c r="B109" i="5" s="1"/>
  <c r="B108" i="5" s="1"/>
  <c r="B107" i="5" s="1"/>
  <c r="B106" i="5" s="1"/>
  <c r="B105" i="5" s="1"/>
  <c r="B104" i="5" s="1"/>
  <c r="B103" i="5" s="1"/>
  <c r="B102" i="5" s="1"/>
  <c r="B101" i="5" s="1"/>
  <c r="B100" i="5" s="1"/>
  <c r="B99" i="5" s="1"/>
  <c r="B98" i="5" s="1"/>
  <c r="B97" i="5" s="1"/>
  <c r="B96" i="5" s="1"/>
  <c r="B95" i="5" s="1"/>
  <c r="B94" i="5" s="1"/>
  <c r="B93" i="5" s="1"/>
  <c r="B92" i="5" s="1"/>
  <c r="B91" i="5" s="1"/>
  <c r="B90" i="5" s="1"/>
  <c r="B89" i="5" s="1"/>
  <c r="B88" i="5" s="1"/>
  <c r="B87" i="5" s="1"/>
  <c r="B86" i="5" s="1"/>
  <c r="B85" i="5" s="1"/>
  <c r="B84" i="5" s="1"/>
  <c r="B83" i="5" s="1"/>
  <c r="B82" i="5" s="1"/>
  <c r="B81" i="5" s="1"/>
  <c r="B80" i="5" s="1"/>
  <c r="B79" i="5" s="1"/>
  <c r="B78" i="5" s="1"/>
  <c r="B77" i="5" s="1"/>
  <c r="B76" i="5" s="1"/>
  <c r="B75" i="5" s="1"/>
  <c r="B74" i="5" s="1"/>
  <c r="B73" i="5" s="1"/>
  <c r="B72" i="5" s="1"/>
  <c r="B71" i="5" s="1"/>
  <c r="B70" i="5" s="1"/>
  <c r="B69" i="5" s="1"/>
  <c r="B68" i="5" s="1"/>
  <c r="B67" i="5" s="1"/>
  <c r="B66" i="5" s="1"/>
  <c r="B65" i="5" s="1"/>
  <c r="B64" i="5" s="1"/>
  <c r="B63" i="5" s="1"/>
  <c r="B62" i="5" s="1"/>
  <c r="B61" i="5" s="1"/>
  <c r="B60" i="5" s="1"/>
  <c r="B59" i="5" s="1"/>
  <c r="B58" i="5" s="1"/>
  <c r="B57" i="5" s="1"/>
  <c r="B56" i="5" s="1"/>
  <c r="B55" i="5" s="1"/>
  <c r="B54" i="5" s="1"/>
  <c r="B53" i="5" s="1"/>
  <c r="B52" i="5" s="1"/>
  <c r="B51" i="5" s="1"/>
  <c r="B50" i="5" s="1"/>
  <c r="B49" i="5" s="1"/>
  <c r="B48" i="5" s="1"/>
  <c r="B47" i="5" s="1"/>
  <c r="B46" i="5" s="1"/>
  <c r="B45" i="5" s="1"/>
  <c r="B44" i="5" s="1"/>
  <c r="B43" i="5" s="1"/>
  <c r="B42" i="5" s="1"/>
  <c r="B41" i="5" s="1"/>
  <c r="B40" i="5" s="1"/>
  <c r="B39" i="5" s="1"/>
  <c r="B38" i="5" s="1"/>
  <c r="B37" i="5" s="1"/>
  <c r="B36" i="5" s="1"/>
  <c r="K13" i="5"/>
  <c r="C122" i="6"/>
  <c r="D121" i="6"/>
  <c r="E121" i="6"/>
  <c r="F121" i="6" s="1"/>
  <c r="A123" i="3"/>
  <c r="AF122" i="3"/>
  <c r="H29" i="6"/>
  <c r="J29" i="6"/>
  <c r="M29" i="6"/>
  <c r="V29" i="6"/>
  <c r="W29" i="6" s="1"/>
  <c r="J122" i="6"/>
  <c r="AB120" i="3"/>
  <c r="AD124" i="10"/>
  <c r="B124" i="10"/>
  <c r="B123" i="10" s="1"/>
  <c r="B122" i="10" s="1"/>
  <c r="B121" i="10" s="1"/>
  <c r="B120" i="10" s="1"/>
  <c r="B119" i="10" s="1"/>
  <c r="B118" i="10" s="1"/>
  <c r="B117" i="10" s="1"/>
  <c r="B116" i="10" s="1"/>
  <c r="B115" i="10" s="1"/>
  <c r="B114" i="10" s="1"/>
  <c r="B113" i="10" s="1"/>
  <c r="B112" i="10" s="1"/>
  <c r="B111" i="10" s="1"/>
  <c r="B110" i="10" s="1"/>
  <c r="B109" i="10" s="1"/>
  <c r="B108" i="10" s="1"/>
  <c r="B107" i="10" s="1"/>
  <c r="B106" i="10" s="1"/>
  <c r="B105" i="10" s="1"/>
  <c r="B104" i="10" s="1"/>
  <c r="B103" i="10" s="1"/>
  <c r="B102" i="10" s="1"/>
  <c r="B101" i="10" s="1"/>
  <c r="B100" i="10" s="1"/>
  <c r="B99" i="10" s="1"/>
  <c r="B98" i="10" s="1"/>
  <c r="B97" i="10" s="1"/>
  <c r="B96" i="10" s="1"/>
  <c r="B95" i="10" s="1"/>
  <c r="B94" i="10" s="1"/>
  <c r="B93" i="10" s="1"/>
  <c r="B92" i="10" s="1"/>
  <c r="B91" i="10" s="1"/>
  <c r="B90" i="10" s="1"/>
  <c r="B89" i="10" s="1"/>
  <c r="B88" i="10" s="1"/>
  <c r="B87" i="10" s="1"/>
  <c r="B86" i="10" s="1"/>
  <c r="B85" i="10" s="1"/>
  <c r="B84" i="10" s="1"/>
  <c r="B83" i="10" s="1"/>
  <c r="B82" i="10" s="1"/>
  <c r="B81" i="10" s="1"/>
  <c r="B80" i="10" s="1"/>
  <c r="B79" i="10" s="1"/>
  <c r="B78" i="10" s="1"/>
  <c r="B77" i="10" s="1"/>
  <c r="B76" i="10" s="1"/>
  <c r="B75" i="10" s="1"/>
  <c r="B74" i="10" s="1"/>
  <c r="B73" i="10" s="1"/>
  <c r="B72" i="10" s="1"/>
  <c r="B71" i="10" s="1"/>
  <c r="B70" i="10" s="1"/>
  <c r="B69" i="10" s="1"/>
  <c r="B68" i="10" s="1"/>
  <c r="B67" i="10" s="1"/>
  <c r="B66" i="10" s="1"/>
  <c r="B65" i="10" s="1"/>
  <c r="B64" i="10" s="1"/>
  <c r="B63" i="10" s="1"/>
  <c r="B62" i="10" s="1"/>
  <c r="B61" i="10" s="1"/>
  <c r="B60" i="10" s="1"/>
  <c r="B59" i="10" s="1"/>
  <c r="B58" i="10" s="1"/>
  <c r="B57" i="10" s="1"/>
  <c r="B56" i="10" s="1"/>
  <c r="B55" i="10" s="1"/>
  <c r="B54" i="10" s="1"/>
  <c r="B53" i="10" s="1"/>
  <c r="B52" i="10" s="1"/>
  <c r="B51" i="10" s="1"/>
  <c r="B50" i="10" s="1"/>
  <c r="B49" i="10" s="1"/>
  <c r="B48" i="10" s="1"/>
  <c r="B47" i="10" s="1"/>
  <c r="B46" i="10" s="1"/>
  <c r="B45" i="10" s="1"/>
  <c r="B44" i="10" s="1"/>
  <c r="B43" i="10" s="1"/>
  <c r="B42" i="10" s="1"/>
  <c r="B41" i="10" s="1"/>
  <c r="B40" i="10" s="1"/>
  <c r="B39" i="10" s="1"/>
  <c r="B38" i="10" s="1"/>
  <c r="K124" i="10"/>
  <c r="AB124" i="10" s="1"/>
  <c r="N14" i="10"/>
  <c r="C116" i="5"/>
  <c r="D115" i="5"/>
  <c r="E115" i="5"/>
  <c r="E122" i="3" l="1"/>
  <c r="D122" i="3"/>
  <c r="I122" i="3"/>
  <c r="C123" i="3"/>
  <c r="AC124" i="10"/>
  <c r="R122" i="6"/>
  <c r="K121" i="6"/>
  <c r="E122" i="6"/>
  <c r="D122" i="6"/>
  <c r="L29" i="6"/>
  <c r="P29" i="6" s="1"/>
  <c r="R29" i="6"/>
  <c r="K28" i="6"/>
  <c r="Q29" i="6"/>
  <c r="S29" i="6" s="1"/>
  <c r="U29" i="6" s="1"/>
  <c r="J124" i="10"/>
  <c r="M124" i="10"/>
  <c r="C117" i="5"/>
  <c r="D116" i="5"/>
  <c r="E116" i="5"/>
  <c r="AF123" i="3"/>
  <c r="A124" i="3"/>
  <c r="F118" i="5"/>
  <c r="G117" i="5" l="1"/>
  <c r="H28" i="6"/>
  <c r="V28" i="6"/>
  <c r="W28" i="6" s="1"/>
  <c r="M28" i="6"/>
  <c r="J28" i="6"/>
  <c r="I123" i="3"/>
  <c r="D123" i="3"/>
  <c r="E123" i="3"/>
  <c r="C124" i="3"/>
  <c r="L124" i="10"/>
  <c r="X124" i="10"/>
  <c r="K123" i="10"/>
  <c r="E117" i="5"/>
  <c r="D117" i="5"/>
  <c r="C118" i="5"/>
  <c r="W124" i="10"/>
  <c r="F122" i="6"/>
  <c r="H122" i="6"/>
  <c r="A125" i="3"/>
  <c r="AF124" i="3"/>
  <c r="V122" i="6"/>
  <c r="W122" i="6" s="1"/>
  <c r="M122" i="6"/>
  <c r="U124" i="10"/>
  <c r="H121" i="6"/>
  <c r="J121" i="6"/>
  <c r="M121" i="6"/>
  <c r="V121" i="6"/>
  <c r="W121" i="6" s="1"/>
  <c r="AB122" i="3"/>
  <c r="AF125" i="3" l="1"/>
  <c r="L125" i="3"/>
  <c r="B125" i="3"/>
  <c r="B124" i="3" s="1"/>
  <c r="B123" i="3" s="1"/>
  <c r="B122" i="3" s="1"/>
  <c r="B121" i="3" s="1"/>
  <c r="B120" i="3" s="1"/>
  <c r="B119" i="3" s="1"/>
  <c r="B118" i="3" s="1"/>
  <c r="B117" i="3" s="1"/>
  <c r="B116" i="3" s="1"/>
  <c r="B115" i="3" s="1"/>
  <c r="B114" i="3" s="1"/>
  <c r="B113" i="3" s="1"/>
  <c r="B112" i="3" s="1"/>
  <c r="B111" i="3" s="1"/>
  <c r="B110" i="3" s="1"/>
  <c r="B109" i="3" s="1"/>
  <c r="B108" i="3" s="1"/>
  <c r="B107" i="3" s="1"/>
  <c r="B106" i="3" s="1"/>
  <c r="B105" i="3" s="1"/>
  <c r="B104" i="3" s="1"/>
  <c r="B103" i="3" s="1"/>
  <c r="B102" i="3" s="1"/>
  <c r="B101" i="3" s="1"/>
  <c r="B100" i="3" s="1"/>
  <c r="B99" i="3" s="1"/>
  <c r="B98" i="3" s="1"/>
  <c r="B97" i="3" s="1"/>
  <c r="B96" i="3" s="1"/>
  <c r="B95" i="3" s="1"/>
  <c r="B94" i="3" s="1"/>
  <c r="B93" i="3" s="1"/>
  <c r="B92" i="3" s="1"/>
  <c r="B91" i="3" s="1"/>
  <c r="B90" i="3" s="1"/>
  <c r="B89" i="3" s="1"/>
  <c r="B88" i="3" s="1"/>
  <c r="B87" i="3" s="1"/>
  <c r="B86" i="3" s="1"/>
  <c r="B85" i="3" s="1"/>
  <c r="B84" i="3" s="1"/>
  <c r="B83" i="3" s="1"/>
  <c r="B82" i="3" s="1"/>
  <c r="B81" i="3" s="1"/>
  <c r="B80" i="3" s="1"/>
  <c r="B79" i="3" s="1"/>
  <c r="B78" i="3" s="1"/>
  <c r="B77" i="3" s="1"/>
  <c r="B76" i="3" s="1"/>
  <c r="B75" i="3" s="1"/>
  <c r="B74" i="3" s="1"/>
  <c r="B73" i="3" s="1"/>
  <c r="B72" i="3" s="1"/>
  <c r="B71" i="3" s="1"/>
  <c r="B70" i="3" s="1"/>
  <c r="B69" i="3" s="1"/>
  <c r="B68" i="3" s="1"/>
  <c r="B67" i="3" s="1"/>
  <c r="B66" i="3" s="1"/>
  <c r="B65" i="3" s="1"/>
  <c r="B64" i="3" s="1"/>
  <c r="B63" i="3" s="1"/>
  <c r="B62" i="3" s="1"/>
  <c r="B61" i="3" s="1"/>
  <c r="B60" i="3" s="1"/>
  <c r="B59" i="3" s="1"/>
  <c r="B58" i="3" s="1"/>
  <c r="B57" i="3" s="1"/>
  <c r="B56" i="3" s="1"/>
  <c r="B55" i="3" s="1"/>
  <c r="B54" i="3" s="1"/>
  <c r="B53" i="3" s="1"/>
  <c r="B52" i="3" s="1"/>
  <c r="B51" i="3" s="1"/>
  <c r="B50" i="3" s="1"/>
  <c r="B49" i="3" s="1"/>
  <c r="B48" i="3" s="1"/>
  <c r="B47" i="3" s="1"/>
  <c r="B46" i="3" s="1"/>
  <c r="B45" i="3" s="1"/>
  <c r="B44" i="3" s="1"/>
  <c r="B43" i="3" s="1"/>
  <c r="B42" i="3" s="1"/>
  <c r="B41" i="3" s="1"/>
  <c r="B40" i="3" s="1"/>
  <c r="B39" i="3" s="1"/>
  <c r="B38" i="3" s="1"/>
  <c r="B37" i="3" s="1"/>
  <c r="B36" i="3" s="1"/>
  <c r="B35" i="3" s="1"/>
  <c r="R13" i="3"/>
  <c r="K27" i="6"/>
  <c r="L28" i="6"/>
  <c r="P28" i="6" s="1"/>
  <c r="Q28" i="6"/>
  <c r="R28" i="6"/>
  <c r="Y124" i="10"/>
  <c r="Q122" i="6"/>
  <c r="S122" i="6" s="1"/>
  <c r="U122" i="6" s="1"/>
  <c r="L122" i="6"/>
  <c r="P122" i="6" s="1"/>
  <c r="I124" i="3"/>
  <c r="D124" i="3"/>
  <c r="E124" i="3"/>
  <c r="C125" i="3"/>
  <c r="I117" i="5"/>
  <c r="F117" i="5"/>
  <c r="T117" i="5"/>
  <c r="R121" i="6"/>
  <c r="Q121" i="6"/>
  <c r="S121" i="6" s="1"/>
  <c r="U121" i="6" s="1"/>
  <c r="L121" i="6"/>
  <c r="P121" i="6" s="1"/>
  <c r="K120" i="6"/>
  <c r="AB123" i="3"/>
  <c r="J123" i="10"/>
  <c r="M123" i="10"/>
  <c r="W123" i="10"/>
  <c r="AB123" i="10"/>
  <c r="AC123" i="10"/>
  <c r="D118" i="5"/>
  <c r="T118" i="5" s="1"/>
  <c r="E118" i="5"/>
  <c r="L118" i="5" s="1"/>
  <c r="I118" i="5"/>
  <c r="H118" i="5"/>
  <c r="Q124" i="10" l="1"/>
  <c r="S124" i="10" s="1"/>
  <c r="AA124" i="10"/>
  <c r="AE124" i="10"/>
  <c r="L123" i="10"/>
  <c r="X123" i="10"/>
  <c r="K122" i="10"/>
  <c r="O117" i="5"/>
  <c r="S28" i="6"/>
  <c r="U28" i="6" s="1"/>
  <c r="N125" i="3"/>
  <c r="K125" i="3"/>
  <c r="U123" i="10"/>
  <c r="E125" i="3"/>
  <c r="H125" i="3" s="1"/>
  <c r="D125" i="3"/>
  <c r="AD125" i="3" s="1"/>
  <c r="I125" i="3"/>
  <c r="H120" i="6"/>
  <c r="M120" i="6"/>
  <c r="J120" i="6"/>
  <c r="V120" i="6"/>
  <c r="W120" i="6" s="1"/>
  <c r="AE125" i="3"/>
  <c r="H117" i="5"/>
  <c r="L117" i="5"/>
  <c r="G116" i="5"/>
  <c r="O118" i="5"/>
  <c r="P118" i="5" s="1"/>
  <c r="R118" i="5"/>
  <c r="H27" i="6"/>
  <c r="V27" i="6"/>
  <c r="W27" i="6" s="1"/>
  <c r="M27" i="6"/>
  <c r="J27" i="6"/>
  <c r="J118" i="5" l="1"/>
  <c r="K118" i="5" s="1"/>
  <c r="S118" i="5"/>
  <c r="J122" i="10"/>
  <c r="W122" i="10" s="1"/>
  <c r="M122" i="10"/>
  <c r="AB122" i="10"/>
  <c r="AC122" i="10"/>
  <c r="I116" i="5"/>
  <c r="F116" i="5"/>
  <c r="T116" i="5"/>
  <c r="V125" i="3"/>
  <c r="M125" i="3"/>
  <c r="L124" i="3"/>
  <c r="L27" i="6"/>
  <c r="P27" i="6" s="1"/>
  <c r="K26" i="6"/>
  <c r="R27" i="6"/>
  <c r="L120" i="6"/>
  <c r="P120" i="6" s="1"/>
  <c r="R120" i="6"/>
  <c r="Q120" i="6"/>
  <c r="S120" i="6" s="1"/>
  <c r="U120" i="6" s="1"/>
  <c r="K119" i="6"/>
  <c r="Y123" i="10"/>
  <c r="P117" i="5"/>
  <c r="R117" i="5"/>
  <c r="Q123" i="10" l="1"/>
  <c r="S123" i="10" s="1"/>
  <c r="AA123" i="10"/>
  <c r="AE123" i="10"/>
  <c r="U122" i="10"/>
  <c r="N124" i="3"/>
  <c r="K124" i="3"/>
  <c r="H124" i="3"/>
  <c r="AE124" i="3"/>
  <c r="AD124" i="3"/>
  <c r="P125" i="3"/>
  <c r="R125" i="3" s="1"/>
  <c r="L116" i="5"/>
  <c r="H116" i="5"/>
  <c r="G115" i="5"/>
  <c r="X122" i="10"/>
  <c r="L122" i="10"/>
  <c r="K121" i="10"/>
  <c r="H119" i="6"/>
  <c r="J119" i="6"/>
  <c r="M119" i="6"/>
  <c r="V119" i="6"/>
  <c r="W119" i="6" s="1"/>
  <c r="H26" i="6"/>
  <c r="J26" i="6"/>
  <c r="M26" i="6"/>
  <c r="V26" i="6"/>
  <c r="W26" i="6" s="1"/>
  <c r="J117" i="5"/>
  <c r="K117" i="5" s="1"/>
  <c r="S117" i="5"/>
  <c r="Q27" i="6"/>
  <c r="S27" i="6" s="1"/>
  <c r="U27" i="6" s="1"/>
  <c r="T125" i="3"/>
  <c r="Q125" i="3" s="1"/>
  <c r="I115" i="5" l="1"/>
  <c r="F115" i="5"/>
  <c r="T115" i="5"/>
  <c r="V124" i="3"/>
  <c r="M124" i="3"/>
  <c r="L123" i="3"/>
  <c r="U124" i="3"/>
  <c r="Q119" i="6"/>
  <c r="L119" i="6"/>
  <c r="P119" i="6" s="1"/>
  <c r="R119" i="6"/>
  <c r="K118" i="6"/>
  <c r="W125" i="3"/>
  <c r="J121" i="10"/>
  <c r="P121" i="10"/>
  <c r="M121" i="10"/>
  <c r="AC121" i="10"/>
  <c r="AB121" i="10"/>
  <c r="Q26" i="6"/>
  <c r="S26" i="6" s="1"/>
  <c r="U26" i="6" s="1"/>
  <c r="R26" i="6"/>
  <c r="K25" i="6"/>
  <c r="L26" i="6"/>
  <c r="P26" i="6" s="1"/>
  <c r="R116" i="5"/>
  <c r="O116" i="5"/>
  <c r="P116" i="5" s="1"/>
  <c r="Y122" i="10"/>
  <c r="J116" i="5" l="1"/>
  <c r="K116" i="5" s="1"/>
  <c r="S116" i="5"/>
  <c r="AC125" i="3"/>
  <c r="AG125" i="3"/>
  <c r="N123" i="3"/>
  <c r="H123" i="3"/>
  <c r="K123" i="3"/>
  <c r="AD123" i="3"/>
  <c r="AE123" i="3"/>
  <c r="H118" i="6"/>
  <c r="J118" i="6"/>
  <c r="M118" i="6"/>
  <c r="V118" i="6"/>
  <c r="W118" i="6" s="1"/>
  <c r="P124" i="3"/>
  <c r="R124" i="3" s="1"/>
  <c r="H25" i="6"/>
  <c r="M25" i="6"/>
  <c r="V25" i="6"/>
  <c r="W25" i="6" s="1"/>
  <c r="N25" i="6"/>
  <c r="X121" i="10"/>
  <c r="L121" i="10"/>
  <c r="O121" i="10"/>
  <c r="K120" i="10"/>
  <c r="AF121" i="10"/>
  <c r="S119" i="6"/>
  <c r="U119" i="6" s="1"/>
  <c r="N121" i="10"/>
  <c r="V121" i="10"/>
  <c r="L115" i="5"/>
  <c r="H115" i="5"/>
  <c r="G114" i="5"/>
  <c r="Q122" i="10"/>
  <c r="S122" i="10" s="1"/>
  <c r="AA122" i="10"/>
  <c r="AE122" i="10"/>
  <c r="W121" i="10"/>
  <c r="T124" i="3"/>
  <c r="W124" i="3" s="1"/>
  <c r="O115" i="5"/>
  <c r="AG124" i="3" l="1"/>
  <c r="AC124" i="3"/>
  <c r="P115" i="5"/>
  <c r="Q121" i="10"/>
  <c r="Q124" i="3"/>
  <c r="V123" i="3"/>
  <c r="M123" i="3"/>
  <c r="L122" i="3"/>
  <c r="R115" i="5"/>
  <c r="Y121" i="10"/>
  <c r="O123" i="3"/>
  <c r="U123" i="3"/>
  <c r="T123" i="3"/>
  <c r="P25" i="6"/>
  <c r="Q25" i="6" s="1"/>
  <c r="T25" i="6"/>
  <c r="O25" i="6"/>
  <c r="J120" i="10"/>
  <c r="P120" i="10"/>
  <c r="M120" i="10"/>
  <c r="W120" i="10"/>
  <c r="AC120" i="10"/>
  <c r="AB120" i="10"/>
  <c r="L118" i="6"/>
  <c r="P118" i="6" s="1"/>
  <c r="Q118" i="6"/>
  <c r="S118" i="6" s="1"/>
  <c r="U118" i="6" s="1"/>
  <c r="R118" i="6"/>
  <c r="K117" i="6"/>
  <c r="F114" i="5"/>
  <c r="I114" i="5"/>
  <c r="T114" i="5"/>
  <c r="U121" i="10"/>
  <c r="R121" i="10" s="1"/>
  <c r="Q123" i="3" l="1"/>
  <c r="W123" i="3"/>
  <c r="P123" i="3"/>
  <c r="S121" i="10"/>
  <c r="K122" i="3"/>
  <c r="H122" i="3"/>
  <c r="N122" i="3"/>
  <c r="AE122" i="3"/>
  <c r="AD122" i="3"/>
  <c r="R114" i="5"/>
  <c r="H114" i="5"/>
  <c r="L114" i="5"/>
  <c r="G113" i="5"/>
  <c r="H117" i="6"/>
  <c r="M117" i="6"/>
  <c r="J117" i="6"/>
  <c r="V117" i="6"/>
  <c r="W117" i="6" s="1"/>
  <c r="O120" i="10"/>
  <c r="L120" i="10"/>
  <c r="X120" i="10"/>
  <c r="K119" i="10"/>
  <c r="AF120" i="10"/>
  <c r="J115" i="5"/>
  <c r="K115" i="5" s="1"/>
  <c r="S115" i="5"/>
  <c r="U120" i="10"/>
  <c r="AE121" i="10"/>
  <c r="AA121" i="10"/>
  <c r="V120" i="10"/>
  <c r="N120" i="10"/>
  <c r="S25" i="6"/>
  <c r="U25" i="6" s="1"/>
  <c r="J119" i="10" l="1"/>
  <c r="W119" i="10"/>
  <c r="P119" i="10"/>
  <c r="M119" i="10"/>
  <c r="AB119" i="10"/>
  <c r="AC119" i="10"/>
  <c r="I113" i="5"/>
  <c r="F113" i="5"/>
  <c r="T113" i="5"/>
  <c r="U122" i="3"/>
  <c r="T122" i="3"/>
  <c r="O122" i="3"/>
  <c r="R120" i="10"/>
  <c r="Y120" i="10"/>
  <c r="V122" i="3"/>
  <c r="M122" i="3"/>
  <c r="L121" i="3"/>
  <c r="Q120" i="10"/>
  <c r="Q117" i="6"/>
  <c r="R117" i="6"/>
  <c r="L117" i="6"/>
  <c r="P117" i="6" s="1"/>
  <c r="K116" i="6"/>
  <c r="O114" i="5"/>
  <c r="P114" i="5" s="1"/>
  <c r="AG123" i="3"/>
  <c r="AC123" i="3"/>
  <c r="R123" i="3"/>
  <c r="J114" i="5" l="1"/>
  <c r="K114" i="5" s="1"/>
  <c r="S114" i="5"/>
  <c r="H113" i="5"/>
  <c r="L113" i="5"/>
  <c r="G112" i="5"/>
  <c r="H116" i="6"/>
  <c r="M116" i="6"/>
  <c r="J116" i="6"/>
  <c r="V116" i="6"/>
  <c r="W116" i="6" s="1"/>
  <c r="O113" i="5"/>
  <c r="R113" i="5"/>
  <c r="AE120" i="10"/>
  <c r="AA120" i="10"/>
  <c r="S117" i="6"/>
  <c r="U117" i="6" s="1"/>
  <c r="U119" i="10"/>
  <c r="S120" i="10"/>
  <c r="N119" i="10"/>
  <c r="K121" i="3"/>
  <c r="N121" i="3"/>
  <c r="H121" i="3"/>
  <c r="AD121" i="3"/>
  <c r="AE121" i="3"/>
  <c r="W122" i="3"/>
  <c r="Q122" i="3"/>
  <c r="R122" i="3" s="1"/>
  <c r="P122" i="3"/>
  <c r="O119" i="10"/>
  <c r="L119" i="10"/>
  <c r="X119" i="10"/>
  <c r="K118" i="10"/>
  <c r="AF119" i="10"/>
  <c r="L116" i="6" l="1"/>
  <c r="P116" i="6" s="1"/>
  <c r="R116" i="6"/>
  <c r="Q116" i="6"/>
  <c r="S116" i="6" s="1"/>
  <c r="U116" i="6" s="1"/>
  <c r="K115" i="6"/>
  <c r="J118" i="10"/>
  <c r="P118" i="10"/>
  <c r="W118" i="10"/>
  <c r="M118" i="10"/>
  <c r="AB118" i="10"/>
  <c r="AC118" i="10"/>
  <c r="R119" i="10"/>
  <c r="Y119" i="10"/>
  <c r="O121" i="3"/>
  <c r="T121" i="3"/>
  <c r="F112" i="5"/>
  <c r="I112" i="5"/>
  <c r="T112" i="5"/>
  <c r="Q119" i="10"/>
  <c r="S119" i="10" s="1"/>
  <c r="V121" i="3"/>
  <c r="M121" i="3"/>
  <c r="U121" i="3" s="1"/>
  <c r="L120" i="3"/>
  <c r="AH121" i="3"/>
  <c r="P113" i="5"/>
  <c r="V119" i="10"/>
  <c r="AG122" i="3"/>
  <c r="AC122" i="3"/>
  <c r="H112" i="5" l="1"/>
  <c r="L112" i="5"/>
  <c r="G111" i="5"/>
  <c r="L118" i="10"/>
  <c r="O118" i="10"/>
  <c r="X118" i="10"/>
  <c r="K117" i="10"/>
  <c r="AF118" i="10"/>
  <c r="J113" i="5"/>
  <c r="K113" i="5" s="1"/>
  <c r="S113" i="5"/>
  <c r="N118" i="10"/>
  <c r="AE119" i="10"/>
  <c r="AA119" i="10"/>
  <c r="H115" i="6"/>
  <c r="J115" i="6"/>
  <c r="M115" i="6"/>
  <c r="V115" i="6"/>
  <c r="W115" i="6" s="1"/>
  <c r="Q121" i="3"/>
  <c r="W121" i="3"/>
  <c r="P121" i="3"/>
  <c r="N120" i="3"/>
  <c r="K120" i="3"/>
  <c r="H120" i="3"/>
  <c r="AE120" i="3"/>
  <c r="AD120" i="3"/>
  <c r="R112" i="5"/>
  <c r="O112" i="5"/>
  <c r="O120" i="3" l="1"/>
  <c r="AG121" i="3"/>
  <c r="AC121" i="3"/>
  <c r="V118" i="10"/>
  <c r="Y118" i="10" s="1"/>
  <c r="R118" i="10"/>
  <c r="V120" i="3"/>
  <c r="M120" i="3"/>
  <c r="U120" i="3" s="1"/>
  <c r="L119" i="3"/>
  <c r="AH120" i="3"/>
  <c r="R121" i="3"/>
  <c r="U118" i="10"/>
  <c r="I111" i="5"/>
  <c r="F111" i="5"/>
  <c r="T111" i="5"/>
  <c r="J117" i="10"/>
  <c r="P117" i="10"/>
  <c r="M117" i="10"/>
  <c r="W117" i="10"/>
  <c r="AC117" i="10"/>
  <c r="AB117" i="10"/>
  <c r="R115" i="6"/>
  <c r="Q115" i="6"/>
  <c r="S115" i="6" s="1"/>
  <c r="U115" i="6" s="1"/>
  <c r="L115" i="6"/>
  <c r="P115" i="6" s="1"/>
  <c r="K114" i="6"/>
  <c r="P112" i="5"/>
  <c r="AE118" i="10" l="1"/>
  <c r="AA118" i="10"/>
  <c r="J112" i="5"/>
  <c r="K112" i="5" s="1"/>
  <c r="S112" i="5"/>
  <c r="V117" i="10"/>
  <c r="N117" i="10"/>
  <c r="N119" i="3"/>
  <c r="H119" i="3"/>
  <c r="K119" i="3"/>
  <c r="AE119" i="3"/>
  <c r="AD119" i="3"/>
  <c r="Q118" i="10"/>
  <c r="S118" i="10" s="1"/>
  <c r="U117" i="10"/>
  <c r="H114" i="6"/>
  <c r="M114" i="6"/>
  <c r="J114" i="6"/>
  <c r="V114" i="6"/>
  <c r="W114" i="6" s="1"/>
  <c r="O117" i="10"/>
  <c r="L117" i="10"/>
  <c r="X117" i="10"/>
  <c r="K116" i="10"/>
  <c r="AF117" i="10"/>
  <c r="P120" i="3"/>
  <c r="L111" i="5"/>
  <c r="H111" i="5"/>
  <c r="O111" i="5" s="1"/>
  <c r="G110" i="5"/>
  <c r="T120" i="3"/>
  <c r="Q120" i="3" s="1"/>
  <c r="J116" i="10" l="1"/>
  <c r="W116" i="10"/>
  <c r="P116" i="10"/>
  <c r="M116" i="10"/>
  <c r="AB116" i="10"/>
  <c r="AC116" i="10"/>
  <c r="R111" i="5"/>
  <c r="F110" i="5"/>
  <c r="I110" i="5"/>
  <c r="T110" i="5"/>
  <c r="R117" i="10"/>
  <c r="Y117" i="10"/>
  <c r="W120" i="3"/>
  <c r="M119" i="3"/>
  <c r="V119" i="3"/>
  <c r="L118" i="3"/>
  <c r="AH119" i="3"/>
  <c r="R120" i="3"/>
  <c r="O119" i="3"/>
  <c r="P111" i="5"/>
  <c r="Q117" i="10"/>
  <c r="S117" i="10" s="1"/>
  <c r="Q114" i="6"/>
  <c r="S114" i="6" s="1"/>
  <c r="U114" i="6" s="1"/>
  <c r="L114" i="6"/>
  <c r="P114" i="6" s="1"/>
  <c r="R114" i="6"/>
  <c r="K113" i="6"/>
  <c r="AG120" i="3" l="1"/>
  <c r="AC120" i="3"/>
  <c r="H110" i="5"/>
  <c r="L110" i="5"/>
  <c r="G109" i="5"/>
  <c r="AA117" i="10"/>
  <c r="AE117" i="10"/>
  <c r="U116" i="10"/>
  <c r="N116" i="10"/>
  <c r="K118" i="3"/>
  <c r="N118" i="3"/>
  <c r="H118" i="3"/>
  <c r="AE118" i="3"/>
  <c r="AD118" i="3"/>
  <c r="J111" i="5"/>
  <c r="K111" i="5" s="1"/>
  <c r="S111" i="5"/>
  <c r="H113" i="6"/>
  <c r="M113" i="6"/>
  <c r="J113" i="6"/>
  <c r="V113" i="6"/>
  <c r="W113" i="6" s="1"/>
  <c r="P119" i="3"/>
  <c r="Q119" i="3"/>
  <c r="W119" i="3"/>
  <c r="T119" i="3"/>
  <c r="U119" i="3"/>
  <c r="O110" i="5"/>
  <c r="R110" i="5"/>
  <c r="L116" i="10"/>
  <c r="O116" i="10"/>
  <c r="X116" i="10"/>
  <c r="K115" i="10"/>
  <c r="AF116" i="10"/>
  <c r="F109" i="5" l="1"/>
  <c r="I109" i="5"/>
  <c r="T109" i="5"/>
  <c r="R116" i="10"/>
  <c r="L113" i="6"/>
  <c r="P113" i="6" s="1"/>
  <c r="R113" i="6"/>
  <c r="Q113" i="6"/>
  <c r="K112" i="6"/>
  <c r="O118" i="3"/>
  <c r="R119" i="3"/>
  <c r="M118" i="3"/>
  <c r="T118" i="3" s="1"/>
  <c r="V118" i="3"/>
  <c r="L117" i="3"/>
  <c r="AH118" i="3"/>
  <c r="P110" i="5"/>
  <c r="AG119" i="3"/>
  <c r="AC119" i="3"/>
  <c r="J115" i="10"/>
  <c r="M115" i="10"/>
  <c r="P115" i="10"/>
  <c r="AB115" i="10"/>
  <c r="AC115" i="10"/>
  <c r="V116" i="10"/>
  <c r="Q116" i="10" s="1"/>
  <c r="S116" i="10" s="1"/>
  <c r="N115" i="10" l="1"/>
  <c r="U118" i="3"/>
  <c r="P118" i="3" s="1"/>
  <c r="R118" i="3" s="1"/>
  <c r="Y116" i="10"/>
  <c r="U115" i="10"/>
  <c r="R109" i="5"/>
  <c r="Q118" i="3"/>
  <c r="W118" i="3"/>
  <c r="L115" i="10"/>
  <c r="O115" i="10"/>
  <c r="X115" i="10"/>
  <c r="K114" i="10"/>
  <c r="AF115" i="10"/>
  <c r="H112" i="6"/>
  <c r="J112" i="6"/>
  <c r="M112" i="6"/>
  <c r="V112" i="6"/>
  <c r="W112" i="6" s="1"/>
  <c r="L109" i="5"/>
  <c r="H109" i="5"/>
  <c r="O109" i="5" s="1"/>
  <c r="G108" i="5"/>
  <c r="J110" i="5"/>
  <c r="K110" i="5" s="1"/>
  <c r="S110" i="5"/>
  <c r="W115" i="10"/>
  <c r="K117" i="3"/>
  <c r="H117" i="3"/>
  <c r="N117" i="3"/>
  <c r="AD117" i="3"/>
  <c r="AE117" i="3"/>
  <c r="S113" i="6"/>
  <c r="U113" i="6" s="1"/>
  <c r="I108" i="5" l="1"/>
  <c r="F108" i="5"/>
  <c r="T108" i="5"/>
  <c r="J114" i="10"/>
  <c r="P114" i="10"/>
  <c r="W114" i="10"/>
  <c r="M114" i="10"/>
  <c r="AB114" i="10"/>
  <c r="AC114" i="10"/>
  <c r="AA116" i="10"/>
  <c r="AE116" i="10"/>
  <c r="R115" i="10"/>
  <c r="Y115" i="10"/>
  <c r="M117" i="3"/>
  <c r="V117" i="3"/>
  <c r="L116" i="3"/>
  <c r="AH117" i="3"/>
  <c r="Q112" i="6"/>
  <c r="R112" i="6"/>
  <c r="L112" i="6"/>
  <c r="P112" i="6" s="1"/>
  <c r="K111" i="6"/>
  <c r="V115" i="10"/>
  <c r="Q115" i="10" s="1"/>
  <c r="S115" i="10" s="1"/>
  <c r="P109" i="5"/>
  <c r="O117" i="3"/>
  <c r="AG118" i="3"/>
  <c r="AC118" i="3"/>
  <c r="J109" i="5" l="1"/>
  <c r="K109" i="5" s="1"/>
  <c r="S109" i="5"/>
  <c r="U114" i="10"/>
  <c r="N114" i="10"/>
  <c r="V114" i="10"/>
  <c r="L114" i="10"/>
  <c r="O114" i="10"/>
  <c r="X114" i="10"/>
  <c r="K113" i="10"/>
  <c r="AF114" i="10"/>
  <c r="AE115" i="10"/>
  <c r="AA115" i="10"/>
  <c r="U117" i="3"/>
  <c r="W117" i="3" s="1"/>
  <c r="H111" i="6"/>
  <c r="M111" i="6"/>
  <c r="J111" i="6"/>
  <c r="V111" i="6"/>
  <c r="W111" i="6" s="1"/>
  <c r="H108" i="5"/>
  <c r="L108" i="5"/>
  <c r="G107" i="5"/>
  <c r="S112" i="6"/>
  <c r="U112" i="6" s="1"/>
  <c r="T117" i="3"/>
  <c r="Q117" i="3" s="1"/>
  <c r="H116" i="3"/>
  <c r="N116" i="3"/>
  <c r="K116" i="3"/>
  <c r="AD116" i="3"/>
  <c r="AE116" i="3"/>
  <c r="R108" i="5"/>
  <c r="O108" i="5"/>
  <c r="AG117" i="3" l="1"/>
  <c r="AC117" i="3"/>
  <c r="I107" i="5"/>
  <c r="F107" i="5"/>
  <c r="T107" i="5"/>
  <c r="P117" i="3"/>
  <c r="R117" i="3" s="1"/>
  <c r="J113" i="10"/>
  <c r="M113" i="10"/>
  <c r="P113" i="10"/>
  <c r="AB113" i="10"/>
  <c r="AC113" i="10"/>
  <c r="Q111" i="6"/>
  <c r="L111" i="6"/>
  <c r="P111" i="6" s="1"/>
  <c r="R111" i="6"/>
  <c r="K110" i="6"/>
  <c r="P108" i="5"/>
  <c r="O116" i="3"/>
  <c r="Q114" i="10"/>
  <c r="S114" i="10" s="1"/>
  <c r="M116" i="3"/>
  <c r="V116" i="3"/>
  <c r="L115" i="3"/>
  <c r="AH116" i="3"/>
  <c r="R114" i="10"/>
  <c r="Y114" i="10"/>
  <c r="L113" i="10" l="1"/>
  <c r="O113" i="10"/>
  <c r="X113" i="10"/>
  <c r="K112" i="10"/>
  <c r="AF113" i="10"/>
  <c r="U113" i="10"/>
  <c r="S111" i="6"/>
  <c r="U111" i="6" s="1"/>
  <c r="H110" i="6"/>
  <c r="J110" i="6"/>
  <c r="M110" i="6"/>
  <c r="V110" i="6"/>
  <c r="W110" i="6" s="1"/>
  <c r="L107" i="5"/>
  <c r="H107" i="5"/>
  <c r="G106" i="5"/>
  <c r="U116" i="3"/>
  <c r="P116" i="3" s="1"/>
  <c r="T116" i="3"/>
  <c r="Q116" i="3" s="1"/>
  <c r="W113" i="10"/>
  <c r="H115" i="3"/>
  <c r="K115" i="3"/>
  <c r="N115" i="3"/>
  <c r="AE115" i="3"/>
  <c r="AD115" i="3"/>
  <c r="AE114" i="10"/>
  <c r="AA114" i="10"/>
  <c r="J108" i="5"/>
  <c r="K108" i="5" s="1"/>
  <c r="S108" i="5"/>
  <c r="V113" i="10"/>
  <c r="N113" i="10"/>
  <c r="R116" i="3" l="1"/>
  <c r="W116" i="3"/>
  <c r="O107" i="5"/>
  <c r="P107" i="5" s="1"/>
  <c r="J112" i="10"/>
  <c r="W112" i="10"/>
  <c r="M112" i="10"/>
  <c r="P112" i="10"/>
  <c r="AB112" i="10"/>
  <c r="AC112" i="10"/>
  <c r="R107" i="5"/>
  <c r="O115" i="3"/>
  <c r="Q113" i="10"/>
  <c r="S113" i="10" s="1"/>
  <c r="M115" i="3"/>
  <c r="U115" i="3" s="1"/>
  <c r="V115" i="3"/>
  <c r="L114" i="3"/>
  <c r="AH115" i="3"/>
  <c r="F106" i="5"/>
  <c r="I106" i="5"/>
  <c r="T106" i="5"/>
  <c r="Q110" i="6"/>
  <c r="S110" i="6" s="1"/>
  <c r="U110" i="6" s="1"/>
  <c r="L110" i="6"/>
  <c r="P110" i="6" s="1"/>
  <c r="R110" i="6"/>
  <c r="K109" i="6"/>
  <c r="R113" i="10"/>
  <c r="Y113" i="10"/>
  <c r="J107" i="5" l="1"/>
  <c r="K107" i="5" s="1"/>
  <c r="S107" i="5"/>
  <c r="N112" i="10"/>
  <c r="V112" i="10"/>
  <c r="R106" i="5"/>
  <c r="O106" i="5"/>
  <c r="T115" i="3"/>
  <c r="O112" i="10"/>
  <c r="X112" i="10"/>
  <c r="L112" i="10"/>
  <c r="K111" i="10"/>
  <c r="AF112" i="10"/>
  <c r="AE113" i="10"/>
  <c r="AA113" i="10"/>
  <c r="H106" i="5"/>
  <c r="L106" i="5"/>
  <c r="G105" i="5"/>
  <c r="AC116" i="3"/>
  <c r="AG116" i="3"/>
  <c r="P115" i="3"/>
  <c r="Q115" i="3"/>
  <c r="W115" i="3"/>
  <c r="H114" i="3"/>
  <c r="K114" i="3"/>
  <c r="N114" i="3"/>
  <c r="AD114" i="3"/>
  <c r="AE114" i="3"/>
  <c r="H109" i="6"/>
  <c r="J109" i="6"/>
  <c r="M109" i="6"/>
  <c r="V109" i="6"/>
  <c r="W109" i="6" s="1"/>
  <c r="AG115" i="3" l="1"/>
  <c r="AC115" i="3"/>
  <c r="J111" i="10"/>
  <c r="M111" i="10"/>
  <c r="W111" i="10"/>
  <c r="P111" i="10"/>
  <c r="AB111" i="10"/>
  <c r="AC111" i="10"/>
  <c r="Y112" i="10"/>
  <c r="Q109" i="6"/>
  <c r="S109" i="6" s="1"/>
  <c r="U109" i="6" s="1"/>
  <c r="R109" i="6"/>
  <c r="L109" i="6"/>
  <c r="P109" i="6" s="1"/>
  <c r="K108" i="6"/>
  <c r="I105" i="5"/>
  <c r="F105" i="5"/>
  <c r="T105" i="5"/>
  <c r="U112" i="10"/>
  <c r="R112" i="10" s="1"/>
  <c r="R115" i="3"/>
  <c r="O114" i="3"/>
  <c r="M114" i="3"/>
  <c r="V114" i="3"/>
  <c r="L113" i="3"/>
  <c r="AH114" i="3"/>
  <c r="Q112" i="10"/>
  <c r="P106" i="5"/>
  <c r="O105" i="5" l="1"/>
  <c r="R105" i="5"/>
  <c r="H108" i="6"/>
  <c r="M108" i="6"/>
  <c r="J108" i="6"/>
  <c r="V108" i="6"/>
  <c r="W108" i="6" s="1"/>
  <c r="N111" i="10"/>
  <c r="J106" i="5"/>
  <c r="K106" i="5" s="1"/>
  <c r="S106" i="5"/>
  <c r="U114" i="3"/>
  <c r="W114" i="3" s="1"/>
  <c r="U111" i="10"/>
  <c r="H105" i="5"/>
  <c r="L105" i="5"/>
  <c r="G104" i="5"/>
  <c r="L111" i="10"/>
  <c r="X111" i="10"/>
  <c r="O111" i="10"/>
  <c r="K110" i="10"/>
  <c r="AF111" i="10"/>
  <c r="T114" i="3"/>
  <c r="Q114" i="3" s="1"/>
  <c r="S112" i="10"/>
  <c r="K113" i="3"/>
  <c r="H113" i="3"/>
  <c r="N113" i="3"/>
  <c r="AD113" i="3"/>
  <c r="AE113" i="3"/>
  <c r="AE112" i="10"/>
  <c r="AA112" i="10"/>
  <c r="AG114" i="3" l="1"/>
  <c r="AC114" i="3"/>
  <c r="J110" i="10"/>
  <c r="W110" i="10"/>
  <c r="P110" i="10"/>
  <c r="M110" i="10"/>
  <c r="AC110" i="10"/>
  <c r="AB110" i="10"/>
  <c r="O113" i="3"/>
  <c r="T113" i="3"/>
  <c r="U113" i="3"/>
  <c r="R111" i="10"/>
  <c r="Y111" i="10"/>
  <c r="V111" i="10"/>
  <c r="Q111" i="10" s="1"/>
  <c r="S111" i="10" s="1"/>
  <c r="V113" i="3"/>
  <c r="M113" i="3"/>
  <c r="L112" i="3"/>
  <c r="AH113" i="3"/>
  <c r="P114" i="3"/>
  <c r="R114" i="3" s="1"/>
  <c r="F104" i="5"/>
  <c r="I104" i="5"/>
  <c r="T104" i="5"/>
  <c r="P105" i="5"/>
  <c r="L108" i="6"/>
  <c r="P108" i="6" s="1"/>
  <c r="R108" i="6"/>
  <c r="Q108" i="6"/>
  <c r="S108" i="6" s="1"/>
  <c r="U108" i="6" s="1"/>
  <c r="K107" i="6"/>
  <c r="X110" i="10" l="1"/>
  <c r="O110" i="10"/>
  <c r="L110" i="10"/>
  <c r="K109" i="10"/>
  <c r="AF110" i="10"/>
  <c r="J105" i="5"/>
  <c r="K105" i="5" s="1"/>
  <c r="S105" i="5"/>
  <c r="N110" i="10"/>
  <c r="L104" i="5"/>
  <c r="H104" i="5"/>
  <c r="G103" i="5"/>
  <c r="H107" i="6"/>
  <c r="J107" i="6"/>
  <c r="M107" i="6"/>
  <c r="V107" i="6"/>
  <c r="W107" i="6" s="1"/>
  <c r="K112" i="3"/>
  <c r="H112" i="3"/>
  <c r="N112" i="3"/>
  <c r="AE112" i="3"/>
  <c r="AD112" i="3"/>
  <c r="AE111" i="10"/>
  <c r="AA111" i="10"/>
  <c r="Q113" i="3"/>
  <c r="P113" i="3"/>
  <c r="R113" i="3" s="1"/>
  <c r="W113" i="3"/>
  <c r="O112" i="3" l="1"/>
  <c r="AC113" i="3"/>
  <c r="AG113" i="3"/>
  <c r="Y110" i="10"/>
  <c r="F103" i="5"/>
  <c r="I103" i="5"/>
  <c r="T103" i="5"/>
  <c r="M112" i="3"/>
  <c r="V112" i="3"/>
  <c r="L111" i="3"/>
  <c r="AH112" i="3"/>
  <c r="Q110" i="10"/>
  <c r="Q107" i="6"/>
  <c r="S107" i="6" s="1"/>
  <c r="U107" i="6" s="1"/>
  <c r="R107" i="6"/>
  <c r="L107" i="6"/>
  <c r="P107" i="6" s="1"/>
  <c r="K106" i="6"/>
  <c r="O104" i="5"/>
  <c r="P104" i="5" s="1"/>
  <c r="J109" i="10"/>
  <c r="W109" i="10" s="1"/>
  <c r="P109" i="10"/>
  <c r="M109" i="10"/>
  <c r="AB109" i="10"/>
  <c r="AC109" i="10"/>
  <c r="V110" i="10"/>
  <c r="R104" i="5"/>
  <c r="U110" i="10"/>
  <c r="R110" i="10" s="1"/>
  <c r="J104" i="5" l="1"/>
  <c r="K104" i="5" s="1"/>
  <c r="S104" i="5"/>
  <c r="AA110" i="10"/>
  <c r="AE110" i="10"/>
  <c r="S110" i="10"/>
  <c r="X109" i="10"/>
  <c r="O109" i="10"/>
  <c r="L109" i="10"/>
  <c r="K108" i="10"/>
  <c r="AF109" i="10"/>
  <c r="H106" i="6"/>
  <c r="M106" i="6"/>
  <c r="J106" i="6"/>
  <c r="V106" i="6"/>
  <c r="W106" i="6" s="1"/>
  <c r="Q112" i="3"/>
  <c r="P112" i="3"/>
  <c r="R112" i="3" s="1"/>
  <c r="N109" i="10"/>
  <c r="U112" i="3"/>
  <c r="W112" i="3" s="1"/>
  <c r="N111" i="3"/>
  <c r="K111" i="3"/>
  <c r="H111" i="3"/>
  <c r="AD111" i="3"/>
  <c r="AE111" i="3"/>
  <c r="T112" i="3"/>
  <c r="H103" i="5"/>
  <c r="R103" i="5" s="1"/>
  <c r="L103" i="5"/>
  <c r="G102" i="5"/>
  <c r="AC112" i="3" l="1"/>
  <c r="AG112" i="3"/>
  <c r="U109" i="10"/>
  <c r="R109" i="10" s="1"/>
  <c r="L106" i="6"/>
  <c r="P106" i="6" s="1"/>
  <c r="R106" i="6"/>
  <c r="Q106" i="6"/>
  <c r="K105" i="6"/>
  <c r="M111" i="3"/>
  <c r="V111" i="3"/>
  <c r="L110" i="3"/>
  <c r="AH111" i="3"/>
  <c r="O103" i="5"/>
  <c r="P103" i="5" s="1"/>
  <c r="V109" i="10"/>
  <c r="Q109" i="10" s="1"/>
  <c r="S109" i="10" s="1"/>
  <c r="O111" i="3"/>
  <c r="F102" i="5"/>
  <c r="I102" i="5"/>
  <c r="T102" i="5"/>
  <c r="J108" i="10"/>
  <c r="M108" i="10"/>
  <c r="P108" i="10"/>
  <c r="AC108" i="10"/>
  <c r="AB108" i="10"/>
  <c r="J103" i="5" l="1"/>
  <c r="K103" i="5" s="1"/>
  <c r="S103" i="5"/>
  <c r="O108" i="10"/>
  <c r="X108" i="10"/>
  <c r="L108" i="10"/>
  <c r="K107" i="10"/>
  <c r="AF108" i="10"/>
  <c r="Y109" i="10"/>
  <c r="H102" i="5"/>
  <c r="L102" i="5"/>
  <c r="G101" i="5"/>
  <c r="W111" i="3"/>
  <c r="P111" i="3"/>
  <c r="W108" i="10"/>
  <c r="N108" i="10"/>
  <c r="U111" i="3"/>
  <c r="H105" i="6"/>
  <c r="J105" i="6"/>
  <c r="M105" i="6"/>
  <c r="V105" i="6"/>
  <c r="W105" i="6" s="1"/>
  <c r="O102" i="5"/>
  <c r="R102" i="5"/>
  <c r="N110" i="3"/>
  <c r="H110" i="3"/>
  <c r="K110" i="3"/>
  <c r="AE110" i="3"/>
  <c r="AD110" i="3"/>
  <c r="T111" i="3"/>
  <c r="Q111" i="3" s="1"/>
  <c r="U108" i="10"/>
  <c r="S106" i="6"/>
  <c r="U106" i="6" s="1"/>
  <c r="AG111" i="3" l="1"/>
  <c r="AC111" i="3"/>
  <c r="R108" i="10"/>
  <c r="AA109" i="10"/>
  <c r="AE109" i="10"/>
  <c r="J107" i="10"/>
  <c r="W107" i="10"/>
  <c r="P107" i="10"/>
  <c r="M107" i="10"/>
  <c r="AC107" i="10"/>
  <c r="AB107" i="10"/>
  <c r="M110" i="3"/>
  <c r="V110" i="3"/>
  <c r="L109" i="3"/>
  <c r="AH110" i="3"/>
  <c r="L105" i="6"/>
  <c r="P105" i="6" s="1"/>
  <c r="Q105" i="6"/>
  <c r="R105" i="6"/>
  <c r="K104" i="6"/>
  <c r="R111" i="3"/>
  <c r="F101" i="5"/>
  <c r="I101" i="5"/>
  <c r="T101" i="5"/>
  <c r="O110" i="3"/>
  <c r="V108" i="10"/>
  <c r="Q108" i="10" s="1"/>
  <c r="S108" i="10" s="1"/>
  <c r="P102" i="5"/>
  <c r="N109" i="3" l="1"/>
  <c r="H109" i="3"/>
  <c r="K109" i="3"/>
  <c r="AD109" i="3"/>
  <c r="AE109" i="3"/>
  <c r="O107" i="10"/>
  <c r="X107" i="10"/>
  <c r="L107" i="10"/>
  <c r="K106" i="10"/>
  <c r="AF107" i="10"/>
  <c r="W110" i="3"/>
  <c r="J102" i="5"/>
  <c r="K102" i="5" s="1"/>
  <c r="S102" i="5"/>
  <c r="Y108" i="10"/>
  <c r="H101" i="5"/>
  <c r="R101" i="5" s="1"/>
  <c r="L101" i="5"/>
  <c r="G100" i="5"/>
  <c r="U110" i="3"/>
  <c r="P110" i="3" s="1"/>
  <c r="U107" i="10"/>
  <c r="H104" i="6"/>
  <c r="J104" i="6"/>
  <c r="M104" i="6"/>
  <c r="V104" i="6"/>
  <c r="W104" i="6" s="1"/>
  <c r="T110" i="3"/>
  <c r="Q110" i="3" s="1"/>
  <c r="S105" i="6"/>
  <c r="U105" i="6" s="1"/>
  <c r="V107" i="10"/>
  <c r="N107" i="10"/>
  <c r="R110" i="3" l="1"/>
  <c r="AG110" i="3"/>
  <c r="AC110" i="3"/>
  <c r="F100" i="5"/>
  <c r="I100" i="5"/>
  <c r="T100" i="5"/>
  <c r="V109" i="3"/>
  <c r="M109" i="3"/>
  <c r="L108" i="3"/>
  <c r="AH109" i="3"/>
  <c r="J106" i="10"/>
  <c r="W106" i="10" s="1"/>
  <c r="P106" i="10"/>
  <c r="M106" i="10"/>
  <c r="AC106" i="10"/>
  <c r="AB106" i="10"/>
  <c r="O109" i="3"/>
  <c r="AE108" i="10"/>
  <c r="AA108" i="10"/>
  <c r="Y107" i="10"/>
  <c r="R107" i="10"/>
  <c r="O101" i="5"/>
  <c r="P101" i="5" s="1"/>
  <c r="L104" i="6"/>
  <c r="P104" i="6" s="1"/>
  <c r="R104" i="6"/>
  <c r="Q104" i="6"/>
  <c r="S104" i="6" s="1"/>
  <c r="U104" i="6" s="1"/>
  <c r="K103" i="6"/>
  <c r="Q107" i="10"/>
  <c r="J101" i="5" l="1"/>
  <c r="K101" i="5" s="1"/>
  <c r="S101" i="5"/>
  <c r="S107" i="10"/>
  <c r="W109" i="3"/>
  <c r="P109" i="3"/>
  <c r="N106" i="10"/>
  <c r="H103" i="6"/>
  <c r="J103" i="6"/>
  <c r="M103" i="6"/>
  <c r="V103" i="6"/>
  <c r="W103" i="6" s="1"/>
  <c r="L100" i="5"/>
  <c r="H100" i="5"/>
  <c r="R100" i="5" s="1"/>
  <c r="G99" i="5"/>
  <c r="U109" i="3"/>
  <c r="AE107" i="10"/>
  <c r="AA107" i="10"/>
  <c r="L106" i="10"/>
  <c r="O106" i="10"/>
  <c r="V106" i="10" s="1"/>
  <c r="X106" i="10"/>
  <c r="K105" i="10"/>
  <c r="AF106" i="10"/>
  <c r="T109" i="3"/>
  <c r="Q109" i="3" s="1"/>
  <c r="K108" i="3"/>
  <c r="H108" i="3"/>
  <c r="N108" i="3"/>
  <c r="AE108" i="3"/>
  <c r="AD108" i="3"/>
  <c r="O108" i="3" l="1"/>
  <c r="R106" i="10"/>
  <c r="Y106" i="10"/>
  <c r="R103" i="6"/>
  <c r="L103" i="6"/>
  <c r="P103" i="6" s="1"/>
  <c r="Q103" i="6"/>
  <c r="K102" i="6"/>
  <c r="R109" i="3"/>
  <c r="Q106" i="10"/>
  <c r="M108" i="3"/>
  <c r="T108" i="3" s="1"/>
  <c r="V108" i="3"/>
  <c r="L107" i="3"/>
  <c r="AH108" i="3"/>
  <c r="J105" i="10"/>
  <c r="P105" i="10"/>
  <c r="M105" i="10"/>
  <c r="AC105" i="10"/>
  <c r="AB105" i="10"/>
  <c r="F99" i="5"/>
  <c r="I99" i="5"/>
  <c r="T99" i="5"/>
  <c r="AC109" i="3"/>
  <c r="AG109" i="3"/>
  <c r="U106" i="10"/>
  <c r="O100" i="5"/>
  <c r="P100" i="5" s="1"/>
  <c r="J100" i="5" l="1"/>
  <c r="K100" i="5" s="1"/>
  <c r="S100" i="5"/>
  <c r="L105" i="10"/>
  <c r="O105" i="10"/>
  <c r="X105" i="10"/>
  <c r="K104" i="10"/>
  <c r="AF105" i="10"/>
  <c r="S103" i="6"/>
  <c r="U103" i="6" s="1"/>
  <c r="H107" i="3"/>
  <c r="N107" i="3"/>
  <c r="K107" i="3"/>
  <c r="AE107" i="3"/>
  <c r="AD107" i="3"/>
  <c r="S106" i="10"/>
  <c r="L99" i="5"/>
  <c r="H99" i="5"/>
  <c r="G98" i="5"/>
  <c r="Q108" i="3"/>
  <c r="W108" i="3"/>
  <c r="P108" i="3"/>
  <c r="R108" i="3" s="1"/>
  <c r="U105" i="10"/>
  <c r="N105" i="10"/>
  <c r="AA106" i="10"/>
  <c r="AE106" i="10"/>
  <c r="W105" i="10"/>
  <c r="H102" i="6"/>
  <c r="J102" i="6"/>
  <c r="M102" i="6"/>
  <c r="V102" i="6"/>
  <c r="W102" i="6" s="1"/>
  <c r="U108" i="3"/>
  <c r="V107" i="3" l="1"/>
  <c r="M107" i="3"/>
  <c r="L106" i="3"/>
  <c r="AH107" i="3"/>
  <c r="J104" i="10"/>
  <c r="M104" i="10"/>
  <c r="W104" i="10"/>
  <c r="P104" i="10"/>
  <c r="AC104" i="10"/>
  <c r="AB104" i="10"/>
  <c r="O107" i="3"/>
  <c r="T107" i="3"/>
  <c r="U107" i="3"/>
  <c r="AG108" i="3"/>
  <c r="AC108" i="3"/>
  <c r="Q105" i="10"/>
  <c r="S105" i="10" s="1"/>
  <c r="R105" i="10"/>
  <c r="R102" i="6"/>
  <c r="Q102" i="6"/>
  <c r="S102" i="6" s="1"/>
  <c r="U102" i="6" s="1"/>
  <c r="L102" i="6"/>
  <c r="P102" i="6" s="1"/>
  <c r="K101" i="6"/>
  <c r="F98" i="5"/>
  <c r="I98" i="5"/>
  <c r="T98" i="5"/>
  <c r="V105" i="10"/>
  <c r="Y105" i="10" s="1"/>
  <c r="R99" i="5"/>
  <c r="O99" i="5"/>
  <c r="P99" i="5" s="1"/>
  <c r="J99" i="5" l="1"/>
  <c r="K99" i="5" s="1"/>
  <c r="S99" i="5"/>
  <c r="AE105" i="10"/>
  <c r="AA105" i="10"/>
  <c r="H101" i="6"/>
  <c r="M101" i="6"/>
  <c r="J101" i="6"/>
  <c r="V101" i="6"/>
  <c r="W101" i="6" s="1"/>
  <c r="O104" i="10"/>
  <c r="X104" i="10"/>
  <c r="L104" i="10"/>
  <c r="U104" i="10" s="1"/>
  <c r="K103" i="10"/>
  <c r="AF104" i="10"/>
  <c r="N106" i="3"/>
  <c r="K106" i="3"/>
  <c r="H106" i="3"/>
  <c r="AE106" i="3"/>
  <c r="AD106" i="3"/>
  <c r="V104" i="10"/>
  <c r="N104" i="10"/>
  <c r="W107" i="3"/>
  <c r="P107" i="3"/>
  <c r="Q107" i="3"/>
  <c r="L98" i="5"/>
  <c r="H98" i="5"/>
  <c r="G97" i="5"/>
  <c r="R98" i="5"/>
  <c r="O98" i="5"/>
  <c r="R107" i="3" l="1"/>
  <c r="O106" i="3"/>
  <c r="V106" i="3"/>
  <c r="M106" i="3"/>
  <c r="L105" i="3"/>
  <c r="AH106" i="3"/>
  <c r="AG107" i="3"/>
  <c r="AC107" i="3"/>
  <c r="J103" i="10"/>
  <c r="P103" i="10"/>
  <c r="W103" i="10"/>
  <c r="M103" i="10"/>
  <c r="AB103" i="10"/>
  <c r="AC103" i="10"/>
  <c r="R104" i="10"/>
  <c r="Y104" i="10"/>
  <c r="Q101" i="6"/>
  <c r="L101" i="6"/>
  <c r="P101" i="6" s="1"/>
  <c r="R101" i="6"/>
  <c r="K100" i="6"/>
  <c r="I97" i="5"/>
  <c r="F97" i="5"/>
  <c r="T97" i="5"/>
  <c r="Q104" i="10"/>
  <c r="S104" i="10" s="1"/>
  <c r="P98" i="5"/>
  <c r="K105" i="3" l="1"/>
  <c r="H105" i="3"/>
  <c r="N105" i="3"/>
  <c r="AE105" i="3"/>
  <c r="AD105" i="3"/>
  <c r="H100" i="6"/>
  <c r="M100" i="6"/>
  <c r="J100" i="6"/>
  <c r="V100" i="6"/>
  <c r="W100" i="6" s="1"/>
  <c r="N103" i="10"/>
  <c r="U106" i="3"/>
  <c r="W106" i="3" s="1"/>
  <c r="J98" i="5"/>
  <c r="K98" i="5" s="1"/>
  <c r="S98" i="5"/>
  <c r="S101" i="6"/>
  <c r="U101" i="6" s="1"/>
  <c r="O103" i="10"/>
  <c r="V103" i="10" s="1"/>
  <c r="X103" i="10"/>
  <c r="L103" i="10"/>
  <c r="K102" i="10"/>
  <c r="AF103" i="10"/>
  <c r="T106" i="3"/>
  <c r="Q106" i="3" s="1"/>
  <c r="AE104" i="10"/>
  <c r="AA104" i="10"/>
  <c r="L97" i="5"/>
  <c r="H97" i="5"/>
  <c r="G96" i="5"/>
  <c r="AC106" i="3" l="1"/>
  <c r="AG106" i="3"/>
  <c r="Q100" i="6"/>
  <c r="R100" i="6"/>
  <c r="L100" i="6"/>
  <c r="P100" i="6" s="1"/>
  <c r="K99" i="6"/>
  <c r="R103" i="10"/>
  <c r="Y103" i="10"/>
  <c r="P106" i="3"/>
  <c r="R106" i="3" s="1"/>
  <c r="O105" i="3"/>
  <c r="F96" i="5"/>
  <c r="I96" i="5"/>
  <c r="T96" i="5"/>
  <c r="Q103" i="10"/>
  <c r="O97" i="5"/>
  <c r="P97" i="5" s="1"/>
  <c r="U103" i="10"/>
  <c r="J102" i="10"/>
  <c r="P102" i="10"/>
  <c r="W102" i="10"/>
  <c r="M102" i="10"/>
  <c r="AB102" i="10"/>
  <c r="AC102" i="10"/>
  <c r="R97" i="5"/>
  <c r="M105" i="3"/>
  <c r="U105" i="3" s="1"/>
  <c r="V105" i="3"/>
  <c r="L104" i="3"/>
  <c r="AH105" i="3"/>
  <c r="J97" i="5" l="1"/>
  <c r="K97" i="5" s="1"/>
  <c r="S97" i="5"/>
  <c r="H99" i="6"/>
  <c r="J99" i="6"/>
  <c r="M99" i="6"/>
  <c r="V99" i="6"/>
  <c r="W99" i="6" s="1"/>
  <c r="H96" i="5"/>
  <c r="O96" i="5" s="1"/>
  <c r="L96" i="5"/>
  <c r="G95" i="5"/>
  <c r="N102" i="10"/>
  <c r="K104" i="3"/>
  <c r="N104" i="3"/>
  <c r="H104" i="3"/>
  <c r="AD104" i="3"/>
  <c r="AE104" i="3"/>
  <c r="O102" i="10"/>
  <c r="V102" i="10" s="1"/>
  <c r="X102" i="10"/>
  <c r="L102" i="10"/>
  <c r="K101" i="10"/>
  <c r="AF102" i="10"/>
  <c r="S100" i="6"/>
  <c r="U100" i="6" s="1"/>
  <c r="W105" i="3"/>
  <c r="P105" i="3"/>
  <c r="T105" i="3"/>
  <c r="Q105" i="3" s="1"/>
  <c r="S103" i="10"/>
  <c r="AE103" i="10"/>
  <c r="AA103" i="10"/>
  <c r="J101" i="10" l="1"/>
  <c r="P101" i="10"/>
  <c r="M101" i="10"/>
  <c r="W101" i="10"/>
  <c r="AC101" i="10"/>
  <c r="AB101" i="10"/>
  <c r="Y102" i="10"/>
  <c r="R96" i="5"/>
  <c r="V104" i="3"/>
  <c r="M104" i="3"/>
  <c r="L103" i="3"/>
  <c r="AH104" i="3"/>
  <c r="Q102" i="10"/>
  <c r="I95" i="5"/>
  <c r="F95" i="5"/>
  <c r="T95" i="5"/>
  <c r="AC105" i="3"/>
  <c r="AG105" i="3"/>
  <c r="R105" i="3"/>
  <c r="R99" i="6"/>
  <c r="L99" i="6"/>
  <c r="P99" i="6" s="1"/>
  <c r="Q99" i="6"/>
  <c r="K98" i="6"/>
  <c r="P96" i="5"/>
  <c r="U102" i="10"/>
  <c r="R102" i="10" s="1"/>
  <c r="O104" i="3"/>
  <c r="T104" i="3"/>
  <c r="U104" i="3"/>
  <c r="AE102" i="10" l="1"/>
  <c r="AA102" i="10"/>
  <c r="S99" i="6"/>
  <c r="U99" i="6" s="1"/>
  <c r="S102" i="10"/>
  <c r="H98" i="6"/>
  <c r="J98" i="6"/>
  <c r="M98" i="6"/>
  <c r="V98" i="6"/>
  <c r="W98" i="6" s="1"/>
  <c r="P104" i="3"/>
  <c r="Q104" i="3"/>
  <c r="W104" i="3"/>
  <c r="H103" i="3"/>
  <c r="N103" i="3"/>
  <c r="K103" i="3"/>
  <c r="AD103" i="3"/>
  <c r="AE103" i="3"/>
  <c r="N101" i="10"/>
  <c r="L95" i="5"/>
  <c r="H95" i="5"/>
  <c r="R95" i="5" s="1"/>
  <c r="G94" i="5"/>
  <c r="J96" i="5"/>
  <c r="K96" i="5" s="1"/>
  <c r="S96" i="5"/>
  <c r="X101" i="10"/>
  <c r="O101" i="10"/>
  <c r="L101" i="10"/>
  <c r="U101" i="10" s="1"/>
  <c r="K100" i="10"/>
  <c r="AF101" i="10"/>
  <c r="J100" i="10" l="1"/>
  <c r="P100" i="10"/>
  <c r="M100" i="10"/>
  <c r="W100" i="10"/>
  <c r="AC100" i="10"/>
  <c r="AB100" i="10"/>
  <c r="AG104" i="3"/>
  <c r="AC104" i="3"/>
  <c r="R101" i="10"/>
  <c r="R104" i="3"/>
  <c r="P95" i="5"/>
  <c r="V101" i="10"/>
  <c r="Q101" i="10" s="1"/>
  <c r="S101" i="10" s="1"/>
  <c r="M103" i="3"/>
  <c r="V103" i="3"/>
  <c r="L102" i="3"/>
  <c r="AH103" i="3"/>
  <c r="O95" i="5"/>
  <c r="F94" i="5"/>
  <c r="I94" i="5"/>
  <c r="T94" i="5"/>
  <c r="O103" i="3"/>
  <c r="T103" i="3"/>
  <c r="Q98" i="6"/>
  <c r="L98" i="6"/>
  <c r="P98" i="6" s="1"/>
  <c r="R98" i="6"/>
  <c r="K97" i="6"/>
  <c r="Q103" i="3" l="1"/>
  <c r="O94" i="5"/>
  <c r="H94" i="5"/>
  <c r="L94" i="5"/>
  <c r="G93" i="5"/>
  <c r="H97" i="6"/>
  <c r="M97" i="6"/>
  <c r="J97" i="6"/>
  <c r="V97" i="6"/>
  <c r="W97" i="6" s="1"/>
  <c r="S98" i="6"/>
  <c r="U98" i="6" s="1"/>
  <c r="Y101" i="10"/>
  <c r="N100" i="10"/>
  <c r="J95" i="5"/>
  <c r="K95" i="5" s="1"/>
  <c r="S95" i="5"/>
  <c r="U103" i="3"/>
  <c r="W103" i="3" s="1"/>
  <c r="H102" i="3"/>
  <c r="K102" i="3"/>
  <c r="N102" i="3"/>
  <c r="AD102" i="3"/>
  <c r="AE102" i="3"/>
  <c r="X100" i="10"/>
  <c r="O100" i="10"/>
  <c r="L100" i="10"/>
  <c r="K99" i="10"/>
  <c r="AF100" i="10"/>
  <c r="AC103" i="3" l="1"/>
  <c r="AG103" i="3"/>
  <c r="P94" i="5"/>
  <c r="J99" i="10"/>
  <c r="P99" i="10"/>
  <c r="W99" i="10"/>
  <c r="M99" i="10"/>
  <c r="AC99" i="10"/>
  <c r="AB99" i="10"/>
  <c r="L97" i="6"/>
  <c r="P97" i="6" s="1"/>
  <c r="R97" i="6"/>
  <c r="Q97" i="6"/>
  <c r="S97" i="6" s="1"/>
  <c r="U97" i="6" s="1"/>
  <c r="K96" i="6"/>
  <c r="Q100" i="10"/>
  <c r="R94" i="5"/>
  <c r="AE101" i="10"/>
  <c r="AA101" i="10"/>
  <c r="U100" i="10"/>
  <c r="R100" i="10" s="1"/>
  <c r="P103" i="3"/>
  <c r="R103" i="3" s="1"/>
  <c r="O102" i="3"/>
  <c r="T102" i="3"/>
  <c r="U102" i="3"/>
  <c r="V102" i="3"/>
  <c r="M102" i="3"/>
  <c r="L101" i="3"/>
  <c r="AH102" i="3"/>
  <c r="V100" i="10"/>
  <c r="Y100" i="10" s="1"/>
  <c r="F93" i="5"/>
  <c r="I93" i="5"/>
  <c r="T93" i="5"/>
  <c r="AA100" i="10" l="1"/>
  <c r="AE100" i="10"/>
  <c r="N99" i="10"/>
  <c r="R93" i="5"/>
  <c r="O93" i="5"/>
  <c r="L93" i="5"/>
  <c r="H93" i="5"/>
  <c r="G92" i="5"/>
  <c r="X99" i="10"/>
  <c r="O99" i="10"/>
  <c r="L99" i="10"/>
  <c r="K98" i="10"/>
  <c r="AF99" i="10"/>
  <c r="H96" i="6"/>
  <c r="J96" i="6"/>
  <c r="M96" i="6"/>
  <c r="V96" i="6"/>
  <c r="W96" i="6" s="1"/>
  <c r="J94" i="5"/>
  <c r="K94" i="5" s="1"/>
  <c r="S94" i="5"/>
  <c r="Q102" i="3"/>
  <c r="P102" i="3"/>
  <c r="R102" i="3" s="1"/>
  <c r="W102" i="3"/>
  <c r="S100" i="10"/>
  <c r="N101" i="3"/>
  <c r="H101" i="3"/>
  <c r="K101" i="3"/>
  <c r="AD101" i="3"/>
  <c r="AE101" i="3"/>
  <c r="J98" i="10" l="1"/>
  <c r="M98" i="10"/>
  <c r="P98" i="10"/>
  <c r="W98" i="10"/>
  <c r="AC98" i="10"/>
  <c r="AB98" i="10"/>
  <c r="R99" i="10"/>
  <c r="M101" i="3"/>
  <c r="V101" i="3"/>
  <c r="L100" i="3"/>
  <c r="AH101" i="3"/>
  <c r="V99" i="10"/>
  <c r="Y99" i="10" s="1"/>
  <c r="I92" i="5"/>
  <c r="F92" i="5"/>
  <c r="T92" i="5"/>
  <c r="U99" i="10"/>
  <c r="Q96" i="6"/>
  <c r="L96" i="6"/>
  <c r="P96" i="6" s="1"/>
  <c r="R96" i="6"/>
  <c r="K95" i="6"/>
  <c r="P93" i="5"/>
  <c r="T101" i="3"/>
  <c r="O101" i="3"/>
  <c r="U101" i="3"/>
  <c r="AC102" i="3"/>
  <c r="AG102" i="3"/>
  <c r="AA99" i="10" l="1"/>
  <c r="AE99" i="10"/>
  <c r="Q99" i="10"/>
  <c r="S99" i="10" s="1"/>
  <c r="L92" i="5"/>
  <c r="H92" i="5"/>
  <c r="O92" i="5" s="1"/>
  <c r="G91" i="5"/>
  <c r="J93" i="5"/>
  <c r="K93" i="5" s="1"/>
  <c r="S93" i="5"/>
  <c r="N98" i="10"/>
  <c r="Q101" i="3"/>
  <c r="P101" i="3"/>
  <c r="R101" i="3" s="1"/>
  <c r="W101" i="3"/>
  <c r="H95" i="6"/>
  <c r="J95" i="6"/>
  <c r="M95" i="6"/>
  <c r="V95" i="6"/>
  <c r="W95" i="6" s="1"/>
  <c r="K100" i="3"/>
  <c r="H100" i="3"/>
  <c r="N100" i="3"/>
  <c r="AD100" i="3"/>
  <c r="AE100" i="3"/>
  <c r="S96" i="6"/>
  <c r="U96" i="6" s="1"/>
  <c r="O98" i="10"/>
  <c r="L98" i="10"/>
  <c r="X98" i="10"/>
  <c r="K97" i="10"/>
  <c r="AF98" i="10"/>
  <c r="O100" i="3" l="1"/>
  <c r="J97" i="10"/>
  <c r="P97" i="10"/>
  <c r="W97" i="10"/>
  <c r="M97" i="10"/>
  <c r="AB97" i="10"/>
  <c r="AC97" i="10"/>
  <c r="AG101" i="3"/>
  <c r="AC101" i="3"/>
  <c r="V100" i="3"/>
  <c r="M100" i="3"/>
  <c r="T100" i="3" s="1"/>
  <c r="L99" i="3"/>
  <c r="AH100" i="3"/>
  <c r="Q98" i="10"/>
  <c r="S98" i="10" s="1"/>
  <c r="V98" i="10"/>
  <c r="P92" i="5"/>
  <c r="R98" i="10"/>
  <c r="Y98" i="10"/>
  <c r="L95" i="6"/>
  <c r="P95" i="6" s="1"/>
  <c r="Q95" i="6"/>
  <c r="S95" i="6" s="1"/>
  <c r="U95" i="6" s="1"/>
  <c r="R95" i="6"/>
  <c r="K94" i="6"/>
  <c r="R92" i="5"/>
  <c r="U98" i="10"/>
  <c r="I91" i="5"/>
  <c r="F91" i="5"/>
  <c r="T91" i="5"/>
  <c r="N97" i="10" l="1"/>
  <c r="AE98" i="10"/>
  <c r="AA98" i="10"/>
  <c r="L97" i="10"/>
  <c r="O97" i="10"/>
  <c r="X97" i="10"/>
  <c r="K96" i="10"/>
  <c r="AF97" i="10"/>
  <c r="J92" i="5"/>
  <c r="K92" i="5" s="1"/>
  <c r="S92" i="5"/>
  <c r="H94" i="6"/>
  <c r="J94" i="6"/>
  <c r="M94" i="6"/>
  <c r="V94" i="6"/>
  <c r="W94" i="6" s="1"/>
  <c r="N99" i="3"/>
  <c r="H99" i="3"/>
  <c r="K99" i="3"/>
  <c r="AD99" i="3"/>
  <c r="AE99" i="3"/>
  <c r="Q100" i="3"/>
  <c r="W100" i="3"/>
  <c r="L91" i="5"/>
  <c r="H91" i="5"/>
  <c r="G90" i="5"/>
  <c r="R91" i="5"/>
  <c r="O91" i="5"/>
  <c r="U100" i="3"/>
  <c r="P100" i="3" s="1"/>
  <c r="R100" i="3" s="1"/>
  <c r="AG100" i="3" l="1"/>
  <c r="AC100" i="3"/>
  <c r="Q94" i="6"/>
  <c r="R94" i="6"/>
  <c r="L94" i="6"/>
  <c r="P94" i="6" s="1"/>
  <c r="K93" i="6"/>
  <c r="M99" i="3"/>
  <c r="V99" i="3"/>
  <c r="L98" i="3"/>
  <c r="AH99" i="3"/>
  <c r="P91" i="5"/>
  <c r="V97" i="10"/>
  <c r="Q97" i="10" s="1"/>
  <c r="S97" i="10" s="1"/>
  <c r="R97" i="10"/>
  <c r="Y97" i="10"/>
  <c r="F90" i="5"/>
  <c r="I90" i="5"/>
  <c r="T90" i="5"/>
  <c r="O99" i="3"/>
  <c r="J96" i="10"/>
  <c r="P96" i="10"/>
  <c r="M96" i="10"/>
  <c r="AC96" i="10"/>
  <c r="AB96" i="10"/>
  <c r="U97" i="10"/>
  <c r="AA97" i="10" l="1"/>
  <c r="AE97" i="10"/>
  <c r="H93" i="6"/>
  <c r="J93" i="6"/>
  <c r="M93" i="6"/>
  <c r="V93" i="6"/>
  <c r="W93" i="6" s="1"/>
  <c r="H90" i="5"/>
  <c r="L90" i="5"/>
  <c r="G89" i="5"/>
  <c r="N96" i="10"/>
  <c r="J91" i="5"/>
  <c r="K91" i="5" s="1"/>
  <c r="S91" i="5"/>
  <c r="S94" i="6"/>
  <c r="U94" i="6" s="1"/>
  <c r="U96" i="10"/>
  <c r="O96" i="10"/>
  <c r="X96" i="10"/>
  <c r="L96" i="10"/>
  <c r="K95" i="10"/>
  <c r="AF96" i="10"/>
  <c r="U99" i="3"/>
  <c r="W99" i="3" s="1"/>
  <c r="N98" i="3"/>
  <c r="K98" i="3"/>
  <c r="H98" i="3"/>
  <c r="AD98" i="3"/>
  <c r="AE98" i="3"/>
  <c r="T99" i="3"/>
  <c r="Q99" i="3" s="1"/>
  <c r="W96" i="10"/>
  <c r="O90" i="5"/>
  <c r="AC99" i="3" l="1"/>
  <c r="AG99" i="3"/>
  <c r="P90" i="5"/>
  <c r="P99" i="3"/>
  <c r="R99" i="3" s="1"/>
  <c r="L93" i="6"/>
  <c r="P93" i="6" s="1"/>
  <c r="Q93" i="6"/>
  <c r="S93" i="6" s="1"/>
  <c r="U93" i="6" s="1"/>
  <c r="R93" i="6"/>
  <c r="K92" i="6"/>
  <c r="R90" i="5"/>
  <c r="V98" i="3"/>
  <c r="M98" i="3"/>
  <c r="L97" i="3"/>
  <c r="AH98" i="3"/>
  <c r="Y96" i="10"/>
  <c r="R96" i="10"/>
  <c r="V96" i="10"/>
  <c r="Q96" i="10" s="1"/>
  <c r="S96" i="10" s="1"/>
  <c r="J95" i="10"/>
  <c r="P95" i="10"/>
  <c r="W95" i="10"/>
  <c r="M95" i="10"/>
  <c r="AB95" i="10"/>
  <c r="AC95" i="10"/>
  <c r="U98" i="3"/>
  <c r="O98" i="3"/>
  <c r="I89" i="5"/>
  <c r="F89" i="5"/>
  <c r="T89" i="5"/>
  <c r="AE96" i="10" l="1"/>
  <c r="AA96" i="10"/>
  <c r="N97" i="3"/>
  <c r="K97" i="3"/>
  <c r="H97" i="3"/>
  <c r="AD97" i="3"/>
  <c r="AE97" i="3"/>
  <c r="U95" i="10"/>
  <c r="J90" i="5"/>
  <c r="K90" i="5" s="1"/>
  <c r="S90" i="5"/>
  <c r="H92" i="6"/>
  <c r="J92" i="6"/>
  <c r="M92" i="6"/>
  <c r="V92" i="6"/>
  <c r="W92" i="6" s="1"/>
  <c r="L95" i="10"/>
  <c r="O95" i="10"/>
  <c r="X95" i="10"/>
  <c r="K94" i="10"/>
  <c r="AF95" i="10"/>
  <c r="L89" i="5"/>
  <c r="H89" i="5"/>
  <c r="R89" i="5" s="1"/>
  <c r="G88" i="5"/>
  <c r="W98" i="3"/>
  <c r="P98" i="3"/>
  <c r="V95" i="10"/>
  <c r="N95" i="10"/>
  <c r="T98" i="3"/>
  <c r="Q98" i="3" s="1"/>
  <c r="O89" i="5" l="1"/>
  <c r="J94" i="10"/>
  <c r="P94" i="10"/>
  <c r="M94" i="10"/>
  <c r="W94" i="10"/>
  <c r="AC94" i="10"/>
  <c r="AB94" i="10"/>
  <c r="R92" i="6"/>
  <c r="L92" i="6"/>
  <c r="P92" i="6" s="1"/>
  <c r="Q92" i="6"/>
  <c r="K91" i="6"/>
  <c r="V97" i="3"/>
  <c r="M97" i="3"/>
  <c r="L96" i="3"/>
  <c r="AH97" i="3"/>
  <c r="Q95" i="10"/>
  <c r="S95" i="10" s="1"/>
  <c r="O97" i="3"/>
  <c r="P89" i="5"/>
  <c r="AG98" i="3"/>
  <c r="AC98" i="3"/>
  <c r="R98" i="3"/>
  <c r="Y95" i="10"/>
  <c r="R95" i="10"/>
  <c r="F88" i="5"/>
  <c r="I88" i="5"/>
  <c r="T88" i="5"/>
  <c r="W97" i="3" l="1"/>
  <c r="P97" i="3"/>
  <c r="T97" i="3"/>
  <c r="Q97" i="3" s="1"/>
  <c r="N94" i="10"/>
  <c r="N96" i="3"/>
  <c r="K96" i="3"/>
  <c r="H96" i="3"/>
  <c r="AE96" i="3"/>
  <c r="AD96" i="3"/>
  <c r="J89" i="5"/>
  <c r="K89" i="5" s="1"/>
  <c r="S89" i="5"/>
  <c r="O88" i="5"/>
  <c r="H91" i="6"/>
  <c r="J91" i="6"/>
  <c r="M91" i="6"/>
  <c r="V91" i="6"/>
  <c r="W91" i="6" s="1"/>
  <c r="H88" i="5"/>
  <c r="L88" i="5"/>
  <c r="G87" i="5"/>
  <c r="U97" i="3"/>
  <c r="S92" i="6"/>
  <c r="U92" i="6" s="1"/>
  <c r="X94" i="10"/>
  <c r="O94" i="10"/>
  <c r="V94" i="10" s="1"/>
  <c r="L94" i="10"/>
  <c r="K93" i="10"/>
  <c r="AF94" i="10"/>
  <c r="AE95" i="10"/>
  <c r="AA95" i="10"/>
  <c r="P88" i="5" l="1"/>
  <c r="R97" i="3"/>
  <c r="Y94" i="10"/>
  <c r="AG97" i="3"/>
  <c r="AC97" i="3"/>
  <c r="T96" i="3"/>
  <c r="O96" i="3"/>
  <c r="J93" i="10"/>
  <c r="M93" i="10"/>
  <c r="W93" i="10"/>
  <c r="P93" i="10"/>
  <c r="AB93" i="10"/>
  <c r="AC93" i="10"/>
  <c r="Q94" i="10"/>
  <c r="Q91" i="6"/>
  <c r="L91" i="6"/>
  <c r="P91" i="6" s="1"/>
  <c r="R91" i="6"/>
  <c r="K90" i="6"/>
  <c r="I87" i="5"/>
  <c r="F87" i="5"/>
  <c r="T87" i="5"/>
  <c r="R88" i="5"/>
  <c r="M96" i="3"/>
  <c r="V96" i="3"/>
  <c r="L95" i="3"/>
  <c r="AH96" i="3"/>
  <c r="U94" i="10"/>
  <c r="R94" i="10" s="1"/>
  <c r="H87" i="5" l="1"/>
  <c r="L87" i="5"/>
  <c r="G86" i="5"/>
  <c r="R87" i="5"/>
  <c r="O87" i="5"/>
  <c r="N93" i="10"/>
  <c r="V93" i="10"/>
  <c r="H90" i="6"/>
  <c r="M90" i="6"/>
  <c r="J90" i="6"/>
  <c r="V90" i="6"/>
  <c r="W90" i="6" s="1"/>
  <c r="AE94" i="10"/>
  <c r="AA94" i="10"/>
  <c r="H95" i="3"/>
  <c r="N95" i="3"/>
  <c r="K95" i="3"/>
  <c r="AE95" i="3"/>
  <c r="AD95" i="3"/>
  <c r="X93" i="10"/>
  <c r="L93" i="10"/>
  <c r="U93" i="10" s="1"/>
  <c r="O93" i="10"/>
  <c r="K92" i="10"/>
  <c r="AF93" i="10"/>
  <c r="S94" i="10"/>
  <c r="Q96" i="3"/>
  <c r="S91" i="6"/>
  <c r="U91" i="6" s="1"/>
  <c r="U96" i="3"/>
  <c r="P96" i="3" s="1"/>
  <c r="R96" i="3" s="1"/>
  <c r="J88" i="5"/>
  <c r="K88" i="5" s="1"/>
  <c r="S88" i="5"/>
  <c r="J92" i="10" l="1"/>
  <c r="W92" i="10" s="1"/>
  <c r="M92" i="10"/>
  <c r="P92" i="10"/>
  <c r="AB92" i="10"/>
  <c r="AC92" i="10"/>
  <c r="Q93" i="10"/>
  <c r="L90" i="6"/>
  <c r="P90" i="6" s="1"/>
  <c r="Q90" i="6"/>
  <c r="S90" i="6" s="1"/>
  <c r="U90" i="6" s="1"/>
  <c r="R90" i="6"/>
  <c r="K89" i="6"/>
  <c r="I86" i="5"/>
  <c r="F86" i="5"/>
  <c r="T86" i="5"/>
  <c r="W96" i="3"/>
  <c r="T95" i="3"/>
  <c r="O95" i="3"/>
  <c r="Y93" i="10"/>
  <c r="R93" i="10"/>
  <c r="M95" i="3"/>
  <c r="U95" i="3" s="1"/>
  <c r="V95" i="3"/>
  <c r="L94" i="3"/>
  <c r="AH95" i="3"/>
  <c r="P87" i="5"/>
  <c r="AG96" i="3" l="1"/>
  <c r="AC96" i="3"/>
  <c r="S93" i="10"/>
  <c r="N92" i="10"/>
  <c r="V92" i="10"/>
  <c r="H89" i="6"/>
  <c r="J89" i="6"/>
  <c r="M89" i="6"/>
  <c r="V89" i="6"/>
  <c r="W89" i="6" s="1"/>
  <c r="K94" i="3"/>
  <c r="N94" i="3"/>
  <c r="H94" i="3"/>
  <c r="AE94" i="3"/>
  <c r="AD94" i="3"/>
  <c r="AE93" i="10"/>
  <c r="AA93" i="10"/>
  <c r="Q95" i="3"/>
  <c r="W95" i="3"/>
  <c r="P95" i="3"/>
  <c r="R95" i="3" s="1"/>
  <c r="H86" i="5"/>
  <c r="R86" i="5" s="1"/>
  <c r="L86" i="5"/>
  <c r="G85" i="5"/>
  <c r="J87" i="5"/>
  <c r="K87" i="5" s="1"/>
  <c r="S87" i="5"/>
  <c r="L92" i="10"/>
  <c r="U92" i="10" s="1"/>
  <c r="X92" i="10"/>
  <c r="O92" i="10"/>
  <c r="K91" i="10"/>
  <c r="AF92" i="10"/>
  <c r="Q92" i="10" l="1"/>
  <c r="O94" i="3"/>
  <c r="V94" i="3"/>
  <c r="M94" i="3"/>
  <c r="L93" i="3"/>
  <c r="AH94" i="3"/>
  <c r="O86" i="5"/>
  <c r="AG95" i="3"/>
  <c r="AC95" i="3"/>
  <c r="P86" i="5"/>
  <c r="Y92" i="10"/>
  <c r="R92" i="10"/>
  <c r="F85" i="5"/>
  <c r="I85" i="5"/>
  <c r="T85" i="5"/>
  <c r="Q89" i="6"/>
  <c r="R89" i="6"/>
  <c r="L89" i="6"/>
  <c r="P89" i="6" s="1"/>
  <c r="K88" i="6"/>
  <c r="J91" i="10"/>
  <c r="W91" i="10" s="1"/>
  <c r="P91" i="10"/>
  <c r="M91" i="10"/>
  <c r="AB91" i="10"/>
  <c r="AC91" i="10"/>
  <c r="H85" i="5" l="1"/>
  <c r="L85" i="5"/>
  <c r="G84" i="5"/>
  <c r="K93" i="3"/>
  <c r="H93" i="3"/>
  <c r="N93" i="3"/>
  <c r="AE93" i="3"/>
  <c r="AD93" i="3"/>
  <c r="AE92" i="10"/>
  <c r="AA92" i="10"/>
  <c r="H88" i="6"/>
  <c r="J88" i="6"/>
  <c r="M88" i="6"/>
  <c r="V88" i="6"/>
  <c r="W88" i="6" s="1"/>
  <c r="J86" i="5"/>
  <c r="K86" i="5" s="1"/>
  <c r="S86" i="5"/>
  <c r="T94" i="3"/>
  <c r="Q94" i="3" s="1"/>
  <c r="N91" i="10"/>
  <c r="V91" i="10"/>
  <c r="U94" i="3"/>
  <c r="P94" i="3" s="1"/>
  <c r="R94" i="3" s="1"/>
  <c r="O85" i="5"/>
  <c r="R85" i="5"/>
  <c r="X91" i="10"/>
  <c r="O91" i="10"/>
  <c r="L91" i="10"/>
  <c r="U91" i="10" s="1"/>
  <c r="K90" i="10"/>
  <c r="AF91" i="10"/>
  <c r="S89" i="6"/>
  <c r="U89" i="6" s="1"/>
  <c r="S92" i="10"/>
  <c r="O93" i="3" l="1"/>
  <c r="R91" i="10"/>
  <c r="Y91" i="10"/>
  <c r="V93" i="3"/>
  <c r="M93" i="3"/>
  <c r="L92" i="3"/>
  <c r="AH93" i="3"/>
  <c r="R88" i="6"/>
  <c r="L88" i="6"/>
  <c r="P88" i="6" s="1"/>
  <c r="Q88" i="6"/>
  <c r="S88" i="6" s="1"/>
  <c r="U88" i="6" s="1"/>
  <c r="K87" i="6"/>
  <c r="W94" i="3"/>
  <c r="F84" i="5"/>
  <c r="I84" i="5"/>
  <c r="T84" i="5"/>
  <c r="J90" i="10"/>
  <c r="P90" i="10"/>
  <c r="W90" i="10"/>
  <c r="M90" i="10"/>
  <c r="AB90" i="10"/>
  <c r="AC90" i="10"/>
  <c r="Q91" i="10"/>
  <c r="S91" i="10" s="1"/>
  <c r="P85" i="5"/>
  <c r="L84" i="5" l="1"/>
  <c r="H84" i="5"/>
  <c r="G83" i="5"/>
  <c r="Q93" i="3"/>
  <c r="AG94" i="3"/>
  <c r="AC94" i="3"/>
  <c r="AA91" i="10"/>
  <c r="AE91" i="10"/>
  <c r="H92" i="3"/>
  <c r="K92" i="3"/>
  <c r="N92" i="3"/>
  <c r="AE92" i="3"/>
  <c r="AD92" i="3"/>
  <c r="U90" i="10"/>
  <c r="H87" i="6"/>
  <c r="M87" i="6"/>
  <c r="J87" i="6"/>
  <c r="V87" i="6"/>
  <c r="W87" i="6" s="1"/>
  <c r="N90" i="10"/>
  <c r="O90" i="10"/>
  <c r="X90" i="10"/>
  <c r="L90" i="10"/>
  <c r="K89" i="10"/>
  <c r="AF90" i="10"/>
  <c r="U93" i="3"/>
  <c r="P93" i="3" s="1"/>
  <c r="R93" i="3" s="1"/>
  <c r="O84" i="5"/>
  <c r="R84" i="5"/>
  <c r="J85" i="5"/>
  <c r="K85" i="5" s="1"/>
  <c r="S85" i="5"/>
  <c r="T93" i="3"/>
  <c r="O92" i="3" l="1"/>
  <c r="W93" i="3"/>
  <c r="V92" i="3"/>
  <c r="M92" i="3"/>
  <c r="L91" i="3"/>
  <c r="AH92" i="3"/>
  <c r="F83" i="5"/>
  <c r="I83" i="5"/>
  <c r="T83" i="5"/>
  <c r="V90" i="10"/>
  <c r="Q90" i="10" s="1"/>
  <c r="S90" i="10" s="1"/>
  <c r="P84" i="5"/>
  <c r="L87" i="6"/>
  <c r="P87" i="6" s="1"/>
  <c r="R87" i="6"/>
  <c r="Q87" i="6"/>
  <c r="K86" i="6"/>
  <c r="J89" i="10"/>
  <c r="M89" i="10"/>
  <c r="W89" i="10"/>
  <c r="P89" i="10"/>
  <c r="AC89" i="10"/>
  <c r="AB89" i="10"/>
  <c r="R90" i="10"/>
  <c r="N89" i="10" l="1"/>
  <c r="AC93" i="3"/>
  <c r="AG93" i="3"/>
  <c r="J84" i="5"/>
  <c r="K84" i="5" s="1"/>
  <c r="S84" i="5"/>
  <c r="X89" i="10"/>
  <c r="L89" i="10"/>
  <c r="O89" i="10"/>
  <c r="K88" i="10"/>
  <c r="AF89" i="10"/>
  <c r="R83" i="5"/>
  <c r="T92" i="3"/>
  <c r="Q92" i="3" s="1"/>
  <c r="Y90" i="10"/>
  <c r="H86" i="6"/>
  <c r="M86" i="6"/>
  <c r="J86" i="6"/>
  <c r="V86" i="6"/>
  <c r="W86" i="6" s="1"/>
  <c r="L83" i="5"/>
  <c r="H83" i="5"/>
  <c r="G82" i="5"/>
  <c r="U92" i="3"/>
  <c r="W92" i="3" s="1"/>
  <c r="N91" i="3"/>
  <c r="H91" i="3"/>
  <c r="K91" i="3"/>
  <c r="AD91" i="3"/>
  <c r="AE91" i="3"/>
  <c r="S87" i="6"/>
  <c r="U87" i="6" s="1"/>
  <c r="AC92" i="3" l="1"/>
  <c r="AG92" i="3"/>
  <c r="M91" i="3"/>
  <c r="V91" i="3"/>
  <c r="L90" i="3"/>
  <c r="AH91" i="3"/>
  <c r="Q86" i="6"/>
  <c r="S86" i="6" s="1"/>
  <c r="U86" i="6" s="1"/>
  <c r="L86" i="6"/>
  <c r="P86" i="6" s="1"/>
  <c r="R86" i="6"/>
  <c r="K85" i="6"/>
  <c r="AA90" i="10"/>
  <c r="AE90" i="10"/>
  <c r="R89" i="10"/>
  <c r="V89" i="10"/>
  <c r="Q89" i="10" s="1"/>
  <c r="S89" i="10" s="1"/>
  <c r="I82" i="5"/>
  <c r="F82" i="5"/>
  <c r="T82" i="5"/>
  <c r="P92" i="3"/>
  <c r="R92" i="3" s="1"/>
  <c r="U91" i="3"/>
  <c r="O91" i="3"/>
  <c r="T91" i="3"/>
  <c r="U89" i="10"/>
  <c r="J88" i="10"/>
  <c r="P88" i="10"/>
  <c r="W88" i="10"/>
  <c r="M88" i="10"/>
  <c r="AB88" i="10"/>
  <c r="AC88" i="10"/>
  <c r="O83" i="5"/>
  <c r="P83" i="5" s="1"/>
  <c r="J83" i="5" l="1"/>
  <c r="K83" i="5" s="1"/>
  <c r="S83" i="5"/>
  <c r="Y89" i="10"/>
  <c r="H90" i="3"/>
  <c r="K90" i="3"/>
  <c r="N90" i="3"/>
  <c r="AE90" i="3"/>
  <c r="AD90" i="3"/>
  <c r="N88" i="10"/>
  <c r="Q91" i="3"/>
  <c r="P91" i="3"/>
  <c r="R91" i="3" s="1"/>
  <c r="W91" i="3"/>
  <c r="O88" i="10"/>
  <c r="X88" i="10"/>
  <c r="L88" i="10"/>
  <c r="U88" i="10" s="1"/>
  <c r="K87" i="10"/>
  <c r="AF88" i="10"/>
  <c r="L82" i="5"/>
  <c r="H82" i="5"/>
  <c r="O82" i="5" s="1"/>
  <c r="G81" i="5"/>
  <c r="H85" i="6"/>
  <c r="J85" i="6"/>
  <c r="M85" i="6"/>
  <c r="V85" i="6"/>
  <c r="W85" i="6" s="1"/>
  <c r="O90" i="3" l="1"/>
  <c r="AG91" i="3"/>
  <c r="AC91" i="3"/>
  <c r="V90" i="3"/>
  <c r="M90" i="3"/>
  <c r="U90" i="3" s="1"/>
  <c r="L89" i="3"/>
  <c r="AH90" i="3"/>
  <c r="Q85" i="6"/>
  <c r="R85" i="6"/>
  <c r="L85" i="6"/>
  <c r="P85" i="6" s="1"/>
  <c r="K84" i="6"/>
  <c r="I81" i="5"/>
  <c r="F81" i="5"/>
  <c r="T81" i="5"/>
  <c r="AA89" i="10"/>
  <c r="AE89" i="10"/>
  <c r="R82" i="5"/>
  <c r="J87" i="10"/>
  <c r="W87" i="10"/>
  <c r="P87" i="10"/>
  <c r="M87" i="10"/>
  <c r="AB87" i="10"/>
  <c r="AC87" i="10"/>
  <c r="V88" i="10"/>
  <c r="Q88" i="10" s="1"/>
  <c r="S88" i="10" s="1"/>
  <c r="P82" i="5"/>
  <c r="R88" i="10"/>
  <c r="Y88" i="10"/>
  <c r="H81" i="5" l="1"/>
  <c r="L81" i="5"/>
  <c r="G80" i="5"/>
  <c r="R81" i="5"/>
  <c r="O81" i="5"/>
  <c r="H84" i="6"/>
  <c r="M84" i="6"/>
  <c r="J84" i="6"/>
  <c r="V84" i="6"/>
  <c r="W84" i="6" s="1"/>
  <c r="AE88" i="10"/>
  <c r="AA88" i="10"/>
  <c r="O87" i="10"/>
  <c r="L87" i="10"/>
  <c r="X87" i="10"/>
  <c r="K86" i="10"/>
  <c r="AF87" i="10"/>
  <c r="S85" i="6"/>
  <c r="U85" i="6" s="1"/>
  <c r="T90" i="3"/>
  <c r="Q90" i="3" s="1"/>
  <c r="J82" i="5"/>
  <c r="K82" i="5" s="1"/>
  <c r="S82" i="5"/>
  <c r="W90" i="3"/>
  <c r="P90" i="3"/>
  <c r="N87" i="10"/>
  <c r="H89" i="3"/>
  <c r="K89" i="3"/>
  <c r="N89" i="3"/>
  <c r="AD89" i="3"/>
  <c r="AE89" i="3"/>
  <c r="AC90" i="3" l="1"/>
  <c r="AG90" i="3"/>
  <c r="U87" i="10"/>
  <c r="R87" i="10" s="1"/>
  <c r="V89" i="3"/>
  <c r="M89" i="3"/>
  <c r="L88" i="3"/>
  <c r="AH89" i="3"/>
  <c r="O89" i="3"/>
  <c r="F80" i="5"/>
  <c r="I80" i="5"/>
  <c r="T80" i="5"/>
  <c r="Q87" i="10"/>
  <c r="L84" i="6"/>
  <c r="P84" i="6" s="1"/>
  <c r="R84" i="6"/>
  <c r="Q84" i="6"/>
  <c r="S84" i="6" s="1"/>
  <c r="U84" i="6" s="1"/>
  <c r="K83" i="6"/>
  <c r="R90" i="3"/>
  <c r="V87" i="10"/>
  <c r="Y87" i="10" s="1"/>
  <c r="J86" i="10"/>
  <c r="W86" i="10"/>
  <c r="M86" i="10"/>
  <c r="P86" i="10"/>
  <c r="AC86" i="10"/>
  <c r="AB86" i="10"/>
  <c r="P81" i="5"/>
  <c r="AA87" i="10" l="1"/>
  <c r="AE87" i="10"/>
  <c r="S87" i="10"/>
  <c r="X86" i="10"/>
  <c r="O86" i="10"/>
  <c r="V86" i="10" s="1"/>
  <c r="L86" i="10"/>
  <c r="K85" i="10"/>
  <c r="AF86" i="10"/>
  <c r="J81" i="5"/>
  <c r="K81" i="5" s="1"/>
  <c r="S81" i="5"/>
  <c r="H83" i="6"/>
  <c r="M83" i="6"/>
  <c r="J83" i="6"/>
  <c r="V83" i="6"/>
  <c r="W83" i="6" s="1"/>
  <c r="U89" i="3"/>
  <c r="W89" i="3" s="1"/>
  <c r="T89" i="3"/>
  <c r="Q89" i="3" s="1"/>
  <c r="N86" i="10"/>
  <c r="K88" i="3"/>
  <c r="H88" i="3"/>
  <c r="N88" i="3"/>
  <c r="AD88" i="3"/>
  <c r="AE88" i="3"/>
  <c r="H80" i="5"/>
  <c r="L80" i="5"/>
  <c r="G79" i="5"/>
  <c r="U86" i="10"/>
  <c r="AG89" i="3" l="1"/>
  <c r="AC89" i="3"/>
  <c r="P89" i="3"/>
  <c r="R89" i="3" s="1"/>
  <c r="P80" i="5"/>
  <c r="R80" i="5"/>
  <c r="F79" i="5"/>
  <c r="I79" i="5"/>
  <c r="T79" i="5"/>
  <c r="O80" i="5"/>
  <c r="Q86" i="10"/>
  <c r="Q83" i="6"/>
  <c r="L83" i="6"/>
  <c r="P83" i="6" s="1"/>
  <c r="R83" i="6"/>
  <c r="K82" i="6"/>
  <c r="J85" i="10"/>
  <c r="W85" i="10"/>
  <c r="M85" i="10"/>
  <c r="P85" i="10"/>
  <c r="AB85" i="10"/>
  <c r="AC85" i="10"/>
  <c r="O88" i="3"/>
  <c r="M88" i="3"/>
  <c r="V88" i="3"/>
  <c r="L87" i="3"/>
  <c r="AH88" i="3"/>
  <c r="R86" i="10"/>
  <c r="Y86" i="10"/>
  <c r="W88" i="3" l="1"/>
  <c r="U88" i="3"/>
  <c r="P88" i="3" s="1"/>
  <c r="O85" i="10"/>
  <c r="L85" i="10"/>
  <c r="X85" i="10"/>
  <c r="K84" i="10"/>
  <c r="AF85" i="10"/>
  <c r="T88" i="3"/>
  <c r="Q88" i="3" s="1"/>
  <c r="J80" i="5"/>
  <c r="K80" i="5" s="1"/>
  <c r="S80" i="5"/>
  <c r="H79" i="5"/>
  <c r="O79" i="5" s="1"/>
  <c r="L79" i="5"/>
  <c r="G78" i="5"/>
  <c r="S83" i="6"/>
  <c r="U83" i="6" s="1"/>
  <c r="H82" i="6"/>
  <c r="M82" i="6"/>
  <c r="J82" i="6"/>
  <c r="V82" i="6"/>
  <c r="W82" i="6" s="1"/>
  <c r="K87" i="3"/>
  <c r="N87" i="3"/>
  <c r="H87" i="3"/>
  <c r="AE87" i="3"/>
  <c r="AD87" i="3"/>
  <c r="N85" i="10"/>
  <c r="V85" i="10"/>
  <c r="S86" i="10"/>
  <c r="AA86" i="10"/>
  <c r="AE86" i="10"/>
  <c r="R88" i="3" l="1"/>
  <c r="J84" i="10"/>
  <c r="M84" i="10"/>
  <c r="P84" i="10"/>
  <c r="W84" i="10"/>
  <c r="AB84" i="10"/>
  <c r="AC84" i="10"/>
  <c r="M87" i="3"/>
  <c r="V87" i="3"/>
  <c r="L86" i="3"/>
  <c r="AH87" i="3"/>
  <c r="Y85" i="10"/>
  <c r="Q85" i="10"/>
  <c r="L82" i="6"/>
  <c r="P82" i="6" s="1"/>
  <c r="Q82" i="6"/>
  <c r="S82" i="6" s="1"/>
  <c r="U82" i="6" s="1"/>
  <c r="R82" i="6"/>
  <c r="K81" i="6"/>
  <c r="AC88" i="3"/>
  <c r="AG88" i="3"/>
  <c r="U85" i="10"/>
  <c r="R85" i="10" s="1"/>
  <c r="F78" i="5"/>
  <c r="I78" i="5"/>
  <c r="T78" i="5"/>
  <c r="P79" i="5"/>
  <c r="R79" i="5"/>
  <c r="O87" i="3"/>
  <c r="AA85" i="10" l="1"/>
  <c r="AE85" i="10"/>
  <c r="N84" i="10"/>
  <c r="V84" i="10"/>
  <c r="U84" i="10"/>
  <c r="L78" i="5"/>
  <c r="H78" i="5"/>
  <c r="O78" i="5" s="1"/>
  <c r="G77" i="5"/>
  <c r="T87" i="3"/>
  <c r="Q87" i="3" s="1"/>
  <c r="H81" i="6"/>
  <c r="M81" i="6"/>
  <c r="J81" i="6"/>
  <c r="V81" i="6"/>
  <c r="W81" i="6" s="1"/>
  <c r="N86" i="3"/>
  <c r="H86" i="3"/>
  <c r="K86" i="3"/>
  <c r="AD86" i="3"/>
  <c r="AE86" i="3"/>
  <c r="O84" i="10"/>
  <c r="X84" i="10"/>
  <c r="L84" i="10"/>
  <c r="K83" i="10"/>
  <c r="AF84" i="10"/>
  <c r="S85" i="10"/>
  <c r="U87" i="3"/>
  <c r="P87" i="3" s="1"/>
  <c r="R87" i="3" s="1"/>
  <c r="J79" i="5"/>
  <c r="K79" i="5" s="1"/>
  <c r="S79" i="5"/>
  <c r="M86" i="3" l="1"/>
  <c r="V86" i="3"/>
  <c r="L85" i="3"/>
  <c r="AH86" i="3"/>
  <c r="J83" i="10"/>
  <c r="P83" i="10"/>
  <c r="M83" i="10"/>
  <c r="W83" i="10"/>
  <c r="AC83" i="10"/>
  <c r="AB83" i="10"/>
  <c r="F77" i="5"/>
  <c r="I77" i="5"/>
  <c r="T77" i="5"/>
  <c r="U86" i="3"/>
  <c r="O86" i="3"/>
  <c r="T86" i="3"/>
  <c r="L81" i="6"/>
  <c r="P81" i="6" s="1"/>
  <c r="R81" i="6"/>
  <c r="Q81" i="6"/>
  <c r="S81" i="6" s="1"/>
  <c r="U81" i="6" s="1"/>
  <c r="K80" i="6"/>
  <c r="P78" i="5"/>
  <c r="Y84" i="10"/>
  <c r="R84" i="10"/>
  <c r="W87" i="3"/>
  <c r="Q84" i="10"/>
  <c r="R78" i="5"/>
  <c r="AG87" i="3" l="1"/>
  <c r="AC87" i="3"/>
  <c r="N83" i="10"/>
  <c r="O83" i="10"/>
  <c r="X83" i="10"/>
  <c r="L83" i="10"/>
  <c r="K82" i="10"/>
  <c r="AF83" i="10"/>
  <c r="H80" i="6"/>
  <c r="J80" i="6"/>
  <c r="M80" i="6"/>
  <c r="V80" i="6"/>
  <c r="W80" i="6" s="1"/>
  <c r="O77" i="5"/>
  <c r="L77" i="5"/>
  <c r="H77" i="5"/>
  <c r="G76" i="5"/>
  <c r="N85" i="3"/>
  <c r="K85" i="3"/>
  <c r="H85" i="3"/>
  <c r="AE85" i="3"/>
  <c r="AD85" i="3"/>
  <c r="J78" i="5"/>
  <c r="K78" i="5" s="1"/>
  <c r="S78" i="5"/>
  <c r="AE84" i="10"/>
  <c r="AA84" i="10"/>
  <c r="S84" i="10"/>
  <c r="P86" i="3"/>
  <c r="R86" i="3" s="1"/>
  <c r="W86" i="3"/>
  <c r="Q86" i="3"/>
  <c r="O85" i="3" l="1"/>
  <c r="AG86" i="3"/>
  <c r="AC86" i="3"/>
  <c r="M85" i="3"/>
  <c r="V85" i="3"/>
  <c r="L84" i="3"/>
  <c r="AH85" i="3"/>
  <c r="I76" i="5"/>
  <c r="F76" i="5"/>
  <c r="T76" i="5"/>
  <c r="R80" i="6"/>
  <c r="L80" i="6"/>
  <c r="P80" i="6" s="1"/>
  <c r="Q80" i="6"/>
  <c r="S80" i="6" s="1"/>
  <c r="U80" i="6" s="1"/>
  <c r="K79" i="6"/>
  <c r="V83" i="10"/>
  <c r="Q83" i="10" s="1"/>
  <c r="S83" i="10" s="1"/>
  <c r="Y83" i="10"/>
  <c r="P77" i="5"/>
  <c r="U83" i="10"/>
  <c r="R83" i="10" s="1"/>
  <c r="R77" i="5"/>
  <c r="J82" i="10"/>
  <c r="M82" i="10"/>
  <c r="P82" i="10"/>
  <c r="AB82" i="10"/>
  <c r="AC82" i="10"/>
  <c r="O82" i="10" l="1"/>
  <c r="L82" i="10"/>
  <c r="X82" i="10"/>
  <c r="K81" i="10"/>
  <c r="AF82" i="10"/>
  <c r="J77" i="5"/>
  <c r="K77" i="5" s="1"/>
  <c r="S77" i="5"/>
  <c r="AE83" i="10"/>
  <c r="AA83" i="10"/>
  <c r="L76" i="5"/>
  <c r="H76" i="5"/>
  <c r="R76" i="5" s="1"/>
  <c r="G75" i="5"/>
  <c r="T85" i="3"/>
  <c r="Q85" i="3" s="1"/>
  <c r="U85" i="3"/>
  <c r="P85" i="3" s="1"/>
  <c r="R85" i="3" s="1"/>
  <c r="N82" i="10"/>
  <c r="V82" i="10"/>
  <c r="W82" i="10"/>
  <c r="U82" i="10"/>
  <c r="H79" i="6"/>
  <c r="M79" i="6"/>
  <c r="J79" i="6"/>
  <c r="V79" i="6"/>
  <c r="W79" i="6" s="1"/>
  <c r="H84" i="3"/>
  <c r="K84" i="3"/>
  <c r="N84" i="3"/>
  <c r="AD84" i="3"/>
  <c r="AE84" i="3"/>
  <c r="F75" i="5" l="1"/>
  <c r="I75" i="5"/>
  <c r="T75" i="5"/>
  <c r="J81" i="10"/>
  <c r="W81" i="10"/>
  <c r="P81" i="10"/>
  <c r="M81" i="10"/>
  <c r="AC81" i="10"/>
  <c r="AB81" i="10"/>
  <c r="Y82" i="10"/>
  <c r="R82" i="10"/>
  <c r="O84" i="3"/>
  <c r="T84" i="3"/>
  <c r="U84" i="3"/>
  <c r="Q82" i="10"/>
  <c r="S82" i="10" s="1"/>
  <c r="W85" i="3"/>
  <c r="M84" i="3"/>
  <c r="V84" i="3"/>
  <c r="L83" i="3"/>
  <c r="AH84" i="3"/>
  <c r="Q79" i="6"/>
  <c r="L79" i="6"/>
  <c r="P79" i="6" s="1"/>
  <c r="R79" i="6"/>
  <c r="K78" i="6"/>
  <c r="O76" i="5"/>
  <c r="P76" i="5"/>
  <c r="N81" i="10" l="1"/>
  <c r="S79" i="6"/>
  <c r="U79" i="6" s="1"/>
  <c r="X81" i="10"/>
  <c r="L81" i="10"/>
  <c r="O81" i="10"/>
  <c r="K80" i="10"/>
  <c r="AF81" i="10"/>
  <c r="N83" i="3"/>
  <c r="H83" i="3"/>
  <c r="K83" i="3"/>
  <c r="AD83" i="3"/>
  <c r="AE83" i="3"/>
  <c r="H78" i="6"/>
  <c r="M78" i="6"/>
  <c r="J78" i="6"/>
  <c r="V78" i="6"/>
  <c r="W78" i="6" s="1"/>
  <c r="AE82" i="10"/>
  <c r="AA82" i="10"/>
  <c r="AG85" i="3"/>
  <c r="AC85" i="3"/>
  <c r="J76" i="5"/>
  <c r="K76" i="5" s="1"/>
  <c r="S76" i="5"/>
  <c r="P84" i="3"/>
  <c r="W84" i="3"/>
  <c r="Q84" i="3"/>
  <c r="H75" i="5"/>
  <c r="L75" i="5"/>
  <c r="G74" i="5"/>
  <c r="O75" i="5" l="1"/>
  <c r="P75" i="5" s="1"/>
  <c r="AG84" i="3"/>
  <c r="AC84" i="3"/>
  <c r="M83" i="3"/>
  <c r="U83" i="3" s="1"/>
  <c r="V83" i="3"/>
  <c r="L82" i="3"/>
  <c r="AH83" i="3"/>
  <c r="R84" i="3"/>
  <c r="O83" i="3"/>
  <c r="V81" i="10"/>
  <c r="Y81" i="10" s="1"/>
  <c r="J80" i="10"/>
  <c r="P80" i="10"/>
  <c r="M80" i="10"/>
  <c r="W80" i="10"/>
  <c r="AC80" i="10"/>
  <c r="AB80" i="10"/>
  <c r="R75" i="5"/>
  <c r="F74" i="5"/>
  <c r="I74" i="5"/>
  <c r="T74" i="5"/>
  <c r="R78" i="6"/>
  <c r="Q78" i="6"/>
  <c r="S78" i="6" s="1"/>
  <c r="U78" i="6" s="1"/>
  <c r="L78" i="6"/>
  <c r="P78" i="6" s="1"/>
  <c r="K77" i="6"/>
  <c r="U81" i="10"/>
  <c r="R81" i="10" s="1"/>
  <c r="AA81" i="10" l="1"/>
  <c r="AE81" i="10"/>
  <c r="J75" i="5"/>
  <c r="K75" i="5" s="1"/>
  <c r="S75" i="5"/>
  <c r="T83" i="3"/>
  <c r="Q83" i="3" s="1"/>
  <c r="W83" i="3"/>
  <c r="P83" i="3"/>
  <c r="Q81" i="10"/>
  <c r="S81" i="10" s="1"/>
  <c r="H77" i="6"/>
  <c r="J77" i="6"/>
  <c r="M77" i="6"/>
  <c r="V77" i="6"/>
  <c r="W77" i="6" s="1"/>
  <c r="N80" i="10"/>
  <c r="V80" i="10"/>
  <c r="N82" i="3"/>
  <c r="H82" i="3"/>
  <c r="K82" i="3"/>
  <c r="AD82" i="3"/>
  <c r="AE82" i="3"/>
  <c r="L74" i="5"/>
  <c r="H74" i="5"/>
  <c r="G73" i="5"/>
  <c r="O80" i="10"/>
  <c r="L80" i="10"/>
  <c r="U80" i="10" s="1"/>
  <c r="X80" i="10"/>
  <c r="K79" i="10"/>
  <c r="AF80" i="10"/>
  <c r="AC83" i="3" l="1"/>
  <c r="AG83" i="3"/>
  <c r="R83" i="3"/>
  <c r="I73" i="5"/>
  <c r="F73" i="5"/>
  <c r="T73" i="5"/>
  <c r="R80" i="10"/>
  <c r="Y80" i="10"/>
  <c r="V82" i="3"/>
  <c r="M82" i="3"/>
  <c r="L81" i="3"/>
  <c r="AH82" i="3"/>
  <c r="R77" i="6"/>
  <c r="Q77" i="6"/>
  <c r="S77" i="6" s="1"/>
  <c r="U77" i="6" s="1"/>
  <c r="L77" i="6"/>
  <c r="P77" i="6" s="1"/>
  <c r="K76" i="6"/>
  <c r="Q80" i="10"/>
  <c r="R74" i="5"/>
  <c r="J79" i="10"/>
  <c r="M79" i="10"/>
  <c r="W79" i="10"/>
  <c r="P79" i="10"/>
  <c r="AC79" i="10"/>
  <c r="AB79" i="10"/>
  <c r="O74" i="5"/>
  <c r="P74" i="5" s="1"/>
  <c r="U82" i="3"/>
  <c r="O82" i="3"/>
  <c r="T82" i="3"/>
  <c r="J74" i="5" l="1"/>
  <c r="K74" i="5" s="1"/>
  <c r="S74" i="5"/>
  <c r="H76" i="6"/>
  <c r="M76" i="6"/>
  <c r="J76" i="6"/>
  <c r="V76" i="6"/>
  <c r="W76" i="6" s="1"/>
  <c r="U79" i="10"/>
  <c r="L73" i="5"/>
  <c r="H73" i="5"/>
  <c r="G72" i="5"/>
  <c r="L79" i="10"/>
  <c r="O79" i="10"/>
  <c r="X79" i="10"/>
  <c r="K78" i="10"/>
  <c r="AF79" i="10"/>
  <c r="R73" i="5"/>
  <c r="O73" i="5"/>
  <c r="AA80" i="10"/>
  <c r="AE80" i="10"/>
  <c r="S80" i="10"/>
  <c r="Q82" i="3"/>
  <c r="W82" i="3"/>
  <c r="P82" i="3"/>
  <c r="R82" i="3" s="1"/>
  <c r="N79" i="10"/>
  <c r="N81" i="3"/>
  <c r="H81" i="3"/>
  <c r="K81" i="3"/>
  <c r="AE81" i="3"/>
  <c r="AD81" i="3"/>
  <c r="L76" i="6" l="1"/>
  <c r="P76" i="6" s="1"/>
  <c r="R76" i="6"/>
  <c r="Q76" i="6"/>
  <c r="S76" i="6" s="1"/>
  <c r="U76" i="6" s="1"/>
  <c r="K75" i="6"/>
  <c r="Q79" i="10"/>
  <c r="J78" i="10"/>
  <c r="M78" i="10"/>
  <c r="W78" i="10"/>
  <c r="P78" i="10"/>
  <c r="AB78" i="10"/>
  <c r="AC78" i="10"/>
  <c r="R79" i="10"/>
  <c r="Y79" i="10"/>
  <c r="V81" i="3"/>
  <c r="M81" i="3"/>
  <c r="L80" i="3"/>
  <c r="AH81" i="3"/>
  <c r="I72" i="5"/>
  <c r="F72" i="5"/>
  <c r="T72" i="5"/>
  <c r="AC82" i="3"/>
  <c r="AG82" i="3"/>
  <c r="T81" i="3"/>
  <c r="U81" i="3"/>
  <c r="O81" i="3"/>
  <c r="V79" i="10"/>
  <c r="P73" i="5"/>
  <c r="W81" i="3" l="1"/>
  <c r="Q81" i="3"/>
  <c r="P81" i="3"/>
  <c r="R81" i="3" s="1"/>
  <c r="O78" i="10"/>
  <c r="X78" i="10"/>
  <c r="L78" i="10"/>
  <c r="K77" i="10"/>
  <c r="AF78" i="10"/>
  <c r="S79" i="10"/>
  <c r="H75" i="6"/>
  <c r="M75" i="6"/>
  <c r="J75" i="6"/>
  <c r="V75" i="6"/>
  <c r="W75" i="6" s="1"/>
  <c r="N80" i="3"/>
  <c r="K80" i="3"/>
  <c r="H80" i="3"/>
  <c r="AD80" i="3"/>
  <c r="AE80" i="3"/>
  <c r="J73" i="5"/>
  <c r="K73" i="5" s="1"/>
  <c r="S73" i="5"/>
  <c r="L72" i="5"/>
  <c r="H72" i="5"/>
  <c r="G71" i="5"/>
  <c r="AA79" i="10"/>
  <c r="AE79" i="10"/>
  <c r="V78" i="10"/>
  <c r="N78" i="10"/>
  <c r="O80" i="3" l="1"/>
  <c r="Y78" i="10"/>
  <c r="M80" i="3"/>
  <c r="V80" i="3"/>
  <c r="L79" i="3"/>
  <c r="AH80" i="3"/>
  <c r="R75" i="6"/>
  <c r="L75" i="6"/>
  <c r="P75" i="6" s="1"/>
  <c r="Q75" i="6"/>
  <c r="S75" i="6" s="1"/>
  <c r="U75" i="6" s="1"/>
  <c r="K74" i="6"/>
  <c r="Q78" i="10"/>
  <c r="U78" i="10"/>
  <c r="R78" i="10" s="1"/>
  <c r="J77" i="10"/>
  <c r="P77" i="10"/>
  <c r="M77" i="10"/>
  <c r="W77" i="10"/>
  <c r="AB77" i="10"/>
  <c r="AC77" i="10"/>
  <c r="O72" i="5"/>
  <c r="P72" i="5" s="1"/>
  <c r="I71" i="5"/>
  <c r="F71" i="5"/>
  <c r="T71" i="5"/>
  <c r="R72" i="5"/>
  <c r="AC81" i="3"/>
  <c r="AG81" i="3"/>
  <c r="J72" i="5" l="1"/>
  <c r="K72" i="5" s="1"/>
  <c r="S72" i="5"/>
  <c r="S78" i="10"/>
  <c r="Q80" i="3"/>
  <c r="AE78" i="10"/>
  <c r="AA78" i="10"/>
  <c r="T80" i="3"/>
  <c r="H74" i="6"/>
  <c r="J74" i="6"/>
  <c r="M74" i="6"/>
  <c r="V74" i="6"/>
  <c r="W74" i="6" s="1"/>
  <c r="U80" i="3"/>
  <c r="P80" i="3" s="1"/>
  <c r="R80" i="3" s="1"/>
  <c r="O71" i="5"/>
  <c r="V77" i="10"/>
  <c r="N77" i="10"/>
  <c r="H71" i="5"/>
  <c r="L71" i="5"/>
  <c r="G70" i="5"/>
  <c r="L77" i="10"/>
  <c r="O77" i="10"/>
  <c r="X77" i="10"/>
  <c r="K76" i="10"/>
  <c r="AF77" i="10"/>
  <c r="N79" i="3"/>
  <c r="H79" i="3"/>
  <c r="K79" i="3"/>
  <c r="AD79" i="3"/>
  <c r="AE79" i="3"/>
  <c r="W80" i="3" l="1"/>
  <c r="P71" i="5"/>
  <c r="Q74" i="6"/>
  <c r="S74" i="6" s="1"/>
  <c r="U74" i="6" s="1"/>
  <c r="R74" i="6"/>
  <c r="L74" i="6"/>
  <c r="P74" i="6" s="1"/>
  <c r="K73" i="6"/>
  <c r="Y77" i="10"/>
  <c r="F70" i="5"/>
  <c r="I70" i="5"/>
  <c r="T70" i="5"/>
  <c r="O79" i="3"/>
  <c r="T79" i="3"/>
  <c r="U79" i="3"/>
  <c r="U77" i="10"/>
  <c r="R77" i="10" s="1"/>
  <c r="V79" i="3"/>
  <c r="M79" i="3"/>
  <c r="L78" i="3"/>
  <c r="AH79" i="3"/>
  <c r="J76" i="10"/>
  <c r="P76" i="10"/>
  <c r="M76" i="10"/>
  <c r="W76" i="10"/>
  <c r="AB76" i="10"/>
  <c r="AC76" i="10"/>
  <c r="Q77" i="10"/>
  <c r="R71" i="5"/>
  <c r="H73" i="6" l="1"/>
  <c r="M73" i="6"/>
  <c r="J73" i="6"/>
  <c r="V73" i="6"/>
  <c r="W73" i="6" s="1"/>
  <c r="V76" i="10"/>
  <c r="N76" i="10"/>
  <c r="AE77" i="10"/>
  <c r="AA77" i="10"/>
  <c r="X76" i="10"/>
  <c r="O76" i="10"/>
  <c r="L76" i="10"/>
  <c r="U76" i="10" s="1"/>
  <c r="K75" i="10"/>
  <c r="AF76" i="10"/>
  <c r="S77" i="10"/>
  <c r="H78" i="3"/>
  <c r="N78" i="3"/>
  <c r="K78" i="3"/>
  <c r="AD78" i="3"/>
  <c r="AE78" i="3"/>
  <c r="R70" i="5"/>
  <c r="J71" i="5"/>
  <c r="K71" i="5" s="1"/>
  <c r="S71" i="5"/>
  <c r="P79" i="3"/>
  <c r="Q79" i="3"/>
  <c r="W79" i="3"/>
  <c r="H70" i="5"/>
  <c r="L70" i="5"/>
  <c r="G69" i="5"/>
  <c r="AG80" i="3"/>
  <c r="AC80" i="3"/>
  <c r="I69" i="5" l="1"/>
  <c r="F69" i="5"/>
  <c r="T69" i="5"/>
  <c r="J75" i="10"/>
  <c r="W75" i="10"/>
  <c r="M75" i="10"/>
  <c r="P75" i="10"/>
  <c r="AB75" i="10"/>
  <c r="AC75" i="10"/>
  <c r="R76" i="10"/>
  <c r="Y76" i="10"/>
  <c r="O70" i="5"/>
  <c r="P70" i="5" s="1"/>
  <c r="Q76" i="10"/>
  <c r="S76" i="10" s="1"/>
  <c r="L73" i="6"/>
  <c r="P73" i="6" s="1"/>
  <c r="Q73" i="6"/>
  <c r="S73" i="6" s="1"/>
  <c r="U73" i="6" s="1"/>
  <c r="R73" i="6"/>
  <c r="K72" i="6"/>
  <c r="R79" i="3"/>
  <c r="V78" i="3"/>
  <c r="M78" i="3"/>
  <c r="L77" i="3"/>
  <c r="AH78" i="3"/>
  <c r="AC79" i="3"/>
  <c r="AG79" i="3"/>
  <c r="O78" i="3"/>
  <c r="J70" i="5" l="1"/>
  <c r="K70" i="5" s="1"/>
  <c r="S70" i="5"/>
  <c r="O75" i="10"/>
  <c r="X75" i="10"/>
  <c r="L75" i="10"/>
  <c r="K74" i="10"/>
  <c r="AF75" i="10"/>
  <c r="AA76" i="10"/>
  <c r="AE76" i="10"/>
  <c r="T78" i="3"/>
  <c r="Q78" i="3" s="1"/>
  <c r="U78" i="3"/>
  <c r="W78" i="3" s="1"/>
  <c r="H72" i="6"/>
  <c r="J72" i="6"/>
  <c r="M72" i="6"/>
  <c r="V72" i="6"/>
  <c r="W72" i="6" s="1"/>
  <c r="H69" i="5"/>
  <c r="L69" i="5"/>
  <c r="G68" i="5"/>
  <c r="V75" i="10"/>
  <c r="N75" i="10"/>
  <c r="H77" i="3"/>
  <c r="K77" i="3"/>
  <c r="N77" i="3"/>
  <c r="AD77" i="3"/>
  <c r="AE77" i="3"/>
  <c r="R69" i="5"/>
  <c r="O69" i="5"/>
  <c r="AC78" i="3" l="1"/>
  <c r="AG78" i="3"/>
  <c r="J74" i="10"/>
  <c r="W74" i="10"/>
  <c r="M74" i="10"/>
  <c r="P74" i="10"/>
  <c r="AB74" i="10"/>
  <c r="AC74" i="10"/>
  <c r="P78" i="3"/>
  <c r="R78" i="3" s="1"/>
  <c r="P69" i="5"/>
  <c r="Q75" i="10"/>
  <c r="Y75" i="10"/>
  <c r="U75" i="10"/>
  <c r="R75" i="10" s="1"/>
  <c r="T77" i="3"/>
  <c r="U77" i="3"/>
  <c r="O77" i="3"/>
  <c r="M77" i="3"/>
  <c r="V77" i="3"/>
  <c r="L76" i="3"/>
  <c r="AH77" i="3"/>
  <c r="F68" i="5"/>
  <c r="I68" i="5"/>
  <c r="T68" i="5"/>
  <c r="R72" i="6"/>
  <c r="L72" i="6"/>
  <c r="P72" i="6" s="1"/>
  <c r="Q72" i="6"/>
  <c r="S72" i="6" s="1"/>
  <c r="U72" i="6" s="1"/>
  <c r="K71" i="6"/>
  <c r="U74" i="10" l="1"/>
  <c r="AA75" i="10"/>
  <c r="AE75" i="10"/>
  <c r="S75" i="10"/>
  <c r="X74" i="10"/>
  <c r="L74" i="10"/>
  <c r="O74" i="10"/>
  <c r="K73" i="10"/>
  <c r="AF74" i="10"/>
  <c r="H68" i="5"/>
  <c r="L68" i="5"/>
  <c r="G67" i="5"/>
  <c r="P77" i="3"/>
  <c r="R77" i="3" s="1"/>
  <c r="Q77" i="3"/>
  <c r="W77" i="3"/>
  <c r="J69" i="5"/>
  <c r="K69" i="5" s="1"/>
  <c r="S69" i="5"/>
  <c r="N74" i="10"/>
  <c r="V74" i="10"/>
  <c r="H71" i="6"/>
  <c r="J71" i="6"/>
  <c r="M71" i="6"/>
  <c r="V71" i="6"/>
  <c r="W71" i="6" s="1"/>
  <c r="H76" i="3"/>
  <c r="N76" i="3"/>
  <c r="K76" i="3"/>
  <c r="AE76" i="3"/>
  <c r="AD76" i="3"/>
  <c r="R71" i="6" l="1"/>
  <c r="L71" i="6"/>
  <c r="P71" i="6" s="1"/>
  <c r="Q71" i="6"/>
  <c r="S71" i="6" s="1"/>
  <c r="U71" i="6" s="1"/>
  <c r="K70" i="6"/>
  <c r="I67" i="5"/>
  <c r="F67" i="5"/>
  <c r="T67" i="5"/>
  <c r="V76" i="3"/>
  <c r="M76" i="3"/>
  <c r="L75" i="3"/>
  <c r="AH76" i="3"/>
  <c r="T76" i="3"/>
  <c r="O76" i="3"/>
  <c r="U76" i="3"/>
  <c r="J73" i="10"/>
  <c r="M73" i="10"/>
  <c r="P73" i="10"/>
  <c r="AC73" i="10"/>
  <c r="AB73" i="10"/>
  <c r="R68" i="5"/>
  <c r="AC77" i="3"/>
  <c r="AG77" i="3"/>
  <c r="Q74" i="10"/>
  <c r="Y74" i="10"/>
  <c r="R74" i="10"/>
  <c r="O68" i="5"/>
  <c r="P68" i="5" s="1"/>
  <c r="J68" i="5" l="1"/>
  <c r="K68" i="5" s="1"/>
  <c r="S68" i="5"/>
  <c r="X73" i="10"/>
  <c r="L73" i="10"/>
  <c r="O73" i="10"/>
  <c r="K72" i="10"/>
  <c r="AF73" i="10"/>
  <c r="H67" i="5"/>
  <c r="L67" i="5"/>
  <c r="G66" i="5"/>
  <c r="H70" i="6"/>
  <c r="M70" i="6"/>
  <c r="J70" i="6"/>
  <c r="V70" i="6"/>
  <c r="W70" i="6" s="1"/>
  <c r="N73" i="10"/>
  <c r="AA74" i="10"/>
  <c r="AE74" i="10"/>
  <c r="W73" i="10"/>
  <c r="N75" i="3"/>
  <c r="H75" i="3"/>
  <c r="K75" i="3"/>
  <c r="AD75" i="3"/>
  <c r="AE75" i="3"/>
  <c r="S74" i="10"/>
  <c r="U73" i="10"/>
  <c r="Q76" i="3"/>
  <c r="P76" i="3"/>
  <c r="R76" i="3" s="1"/>
  <c r="W76" i="3"/>
  <c r="J72" i="10" l="1"/>
  <c r="W72" i="10"/>
  <c r="P72" i="10"/>
  <c r="M72" i="10"/>
  <c r="AC72" i="10"/>
  <c r="AB72" i="10"/>
  <c r="U75" i="3"/>
  <c r="O75" i="3"/>
  <c r="Q70" i="6"/>
  <c r="R70" i="6"/>
  <c r="L70" i="6"/>
  <c r="P70" i="6" s="1"/>
  <c r="K69" i="6"/>
  <c r="R67" i="5"/>
  <c r="R73" i="10"/>
  <c r="AG76" i="3"/>
  <c r="AC76" i="3"/>
  <c r="O67" i="5"/>
  <c r="P67" i="5" s="1"/>
  <c r="V73" i="10"/>
  <c r="Y73" i="10" s="1"/>
  <c r="F66" i="5"/>
  <c r="I66" i="5"/>
  <c r="T66" i="5"/>
  <c r="V75" i="3"/>
  <c r="M75" i="3"/>
  <c r="L74" i="3"/>
  <c r="AH75" i="3"/>
  <c r="AA73" i="10" l="1"/>
  <c r="AE73" i="10"/>
  <c r="J67" i="5"/>
  <c r="K67" i="5" s="1"/>
  <c r="S67" i="5"/>
  <c r="L66" i="5"/>
  <c r="H66" i="5"/>
  <c r="G65" i="5"/>
  <c r="R66" i="5"/>
  <c r="U72" i="10"/>
  <c r="H69" i="6"/>
  <c r="J69" i="6"/>
  <c r="M69" i="6"/>
  <c r="V69" i="6"/>
  <c r="W69" i="6" s="1"/>
  <c r="H74" i="3"/>
  <c r="N74" i="3"/>
  <c r="K74" i="3"/>
  <c r="AD74" i="3"/>
  <c r="AE74" i="3"/>
  <c r="S70" i="6"/>
  <c r="U70" i="6" s="1"/>
  <c r="N72" i="10"/>
  <c r="V72" i="10"/>
  <c r="Q73" i="10"/>
  <c r="S73" i="10" s="1"/>
  <c r="L72" i="10"/>
  <c r="X72" i="10"/>
  <c r="O72" i="10"/>
  <c r="K71" i="10"/>
  <c r="AF72" i="10"/>
  <c r="Q75" i="3"/>
  <c r="W75" i="3"/>
  <c r="P75" i="3"/>
  <c r="R75" i="3" s="1"/>
  <c r="T75" i="3"/>
  <c r="AG75" i="3" l="1"/>
  <c r="AC75" i="3"/>
  <c r="F65" i="5"/>
  <c r="I65" i="5"/>
  <c r="T65" i="5"/>
  <c r="P66" i="5"/>
  <c r="Q69" i="6"/>
  <c r="R69" i="6"/>
  <c r="L69" i="6"/>
  <c r="P69" i="6" s="1"/>
  <c r="K68" i="6"/>
  <c r="Q72" i="10"/>
  <c r="V74" i="3"/>
  <c r="M74" i="3"/>
  <c r="L73" i="3"/>
  <c r="AH74" i="3"/>
  <c r="J71" i="10"/>
  <c r="W71" i="10" s="1"/>
  <c r="P71" i="10"/>
  <c r="M71" i="10"/>
  <c r="AB71" i="10"/>
  <c r="AC71" i="10"/>
  <c r="Y72" i="10"/>
  <c r="R72" i="10"/>
  <c r="T74" i="3"/>
  <c r="O74" i="3"/>
  <c r="O66" i="5"/>
  <c r="S69" i="6" l="1"/>
  <c r="U69" i="6" s="1"/>
  <c r="J66" i="5"/>
  <c r="K66" i="5" s="1"/>
  <c r="S66" i="5"/>
  <c r="R65" i="5"/>
  <c r="AE72" i="10"/>
  <c r="AA72" i="10"/>
  <c r="S72" i="10"/>
  <c r="H65" i="5"/>
  <c r="O65" i="5" s="1"/>
  <c r="L65" i="5"/>
  <c r="G64" i="5"/>
  <c r="K73" i="3"/>
  <c r="N73" i="3"/>
  <c r="H73" i="3"/>
  <c r="AE73" i="3"/>
  <c r="AD73" i="3"/>
  <c r="Q74" i="3"/>
  <c r="U74" i="3"/>
  <c r="P74" i="3" s="1"/>
  <c r="R74" i="3" s="1"/>
  <c r="X71" i="10"/>
  <c r="O71" i="10"/>
  <c r="L71" i="10"/>
  <c r="K70" i="10"/>
  <c r="AF71" i="10"/>
  <c r="H68" i="6"/>
  <c r="J68" i="6"/>
  <c r="M68" i="6"/>
  <c r="V68" i="6"/>
  <c r="W68" i="6" s="1"/>
  <c r="N71" i="10"/>
  <c r="L68" i="6" l="1"/>
  <c r="P68" i="6" s="1"/>
  <c r="Q68" i="6"/>
  <c r="R68" i="6"/>
  <c r="K67" i="6"/>
  <c r="I64" i="5"/>
  <c r="F64" i="5"/>
  <c r="T64" i="5"/>
  <c r="V73" i="3"/>
  <c r="M73" i="3"/>
  <c r="L72" i="3"/>
  <c r="AH73" i="3"/>
  <c r="W74" i="3"/>
  <c r="U71" i="10"/>
  <c r="R71" i="10" s="1"/>
  <c r="P65" i="5"/>
  <c r="O73" i="3"/>
  <c r="T73" i="3"/>
  <c r="U73" i="3"/>
  <c r="V71" i="10"/>
  <c r="Y71" i="10" s="1"/>
  <c r="J70" i="10"/>
  <c r="W70" i="10"/>
  <c r="P70" i="10"/>
  <c r="M70" i="10"/>
  <c r="AC70" i="10"/>
  <c r="AB70" i="10"/>
  <c r="AE71" i="10" l="1"/>
  <c r="AA71" i="10"/>
  <c r="AC74" i="3"/>
  <c r="AG74" i="3"/>
  <c r="L64" i="5"/>
  <c r="H64" i="5"/>
  <c r="G63" i="5"/>
  <c r="N72" i="3"/>
  <c r="K72" i="3"/>
  <c r="H72" i="3"/>
  <c r="AD72" i="3"/>
  <c r="AE72" i="3"/>
  <c r="H67" i="6"/>
  <c r="M67" i="6"/>
  <c r="J67" i="6"/>
  <c r="V67" i="6"/>
  <c r="W67" i="6" s="1"/>
  <c r="J65" i="5"/>
  <c r="K65" i="5" s="1"/>
  <c r="S65" i="5"/>
  <c r="N70" i="10"/>
  <c r="O70" i="10"/>
  <c r="X70" i="10"/>
  <c r="L70" i="10"/>
  <c r="K69" i="10"/>
  <c r="AF70" i="10"/>
  <c r="Q73" i="3"/>
  <c r="P73" i="3"/>
  <c r="R73" i="3" s="1"/>
  <c r="W73" i="3"/>
  <c r="S68" i="6"/>
  <c r="U68" i="6" s="1"/>
  <c r="Q71" i="10"/>
  <c r="S71" i="10" s="1"/>
  <c r="AC73" i="3" l="1"/>
  <c r="AG73" i="3"/>
  <c r="R67" i="6"/>
  <c r="L67" i="6"/>
  <c r="P67" i="6" s="1"/>
  <c r="Q67" i="6"/>
  <c r="S67" i="6" s="1"/>
  <c r="U67" i="6" s="1"/>
  <c r="K66" i="6"/>
  <c r="F63" i="5"/>
  <c r="I63" i="5"/>
  <c r="T63" i="5"/>
  <c r="O72" i="3"/>
  <c r="U72" i="3"/>
  <c r="T72" i="3"/>
  <c r="J69" i="10"/>
  <c r="W69" i="10"/>
  <c r="P69" i="10"/>
  <c r="M69" i="10"/>
  <c r="AC69" i="10"/>
  <c r="AB69" i="10"/>
  <c r="O64" i="5"/>
  <c r="P64" i="5" s="1"/>
  <c r="V70" i="10"/>
  <c r="Y70" i="10" s="1"/>
  <c r="R64" i="5"/>
  <c r="U70" i="10"/>
  <c r="R70" i="10" s="1"/>
  <c r="M72" i="3"/>
  <c r="V72" i="3"/>
  <c r="L71" i="3"/>
  <c r="AH72" i="3"/>
  <c r="AE70" i="10" l="1"/>
  <c r="AA70" i="10"/>
  <c r="J64" i="5"/>
  <c r="K64" i="5" s="1"/>
  <c r="S64" i="5"/>
  <c r="N71" i="3"/>
  <c r="H71" i="3"/>
  <c r="K71" i="3"/>
  <c r="AD71" i="3"/>
  <c r="AE71" i="3"/>
  <c r="Q70" i="10"/>
  <c r="S70" i="10" s="1"/>
  <c r="N69" i="10"/>
  <c r="R63" i="5"/>
  <c r="H66" i="6"/>
  <c r="M66" i="6"/>
  <c r="J66" i="6"/>
  <c r="V66" i="6"/>
  <c r="W66" i="6" s="1"/>
  <c r="Q72" i="3"/>
  <c r="W72" i="3"/>
  <c r="P72" i="3"/>
  <c r="O69" i="10"/>
  <c r="X69" i="10"/>
  <c r="L69" i="10"/>
  <c r="U69" i="10" s="1"/>
  <c r="K68" i="10"/>
  <c r="AF69" i="10"/>
  <c r="L63" i="5"/>
  <c r="H63" i="5"/>
  <c r="O63" i="5" s="1"/>
  <c r="G62" i="5"/>
  <c r="R72" i="3" l="1"/>
  <c r="V71" i="3"/>
  <c r="M71" i="3"/>
  <c r="L70" i="3"/>
  <c r="AH71" i="3"/>
  <c r="AG72" i="3"/>
  <c r="AC72" i="3"/>
  <c r="Q69" i="10"/>
  <c r="S69" i="10" s="1"/>
  <c r="I62" i="5"/>
  <c r="F62" i="5"/>
  <c r="T62" i="5"/>
  <c r="V69" i="10"/>
  <c r="Y69" i="10" s="1"/>
  <c r="J68" i="10"/>
  <c r="M68" i="10"/>
  <c r="W68" i="10"/>
  <c r="P68" i="10"/>
  <c r="AC68" i="10"/>
  <c r="AB68" i="10"/>
  <c r="Q66" i="6"/>
  <c r="R66" i="6"/>
  <c r="L66" i="6"/>
  <c r="P66" i="6" s="1"/>
  <c r="K65" i="6"/>
  <c r="P63" i="5"/>
  <c r="T71" i="3"/>
  <c r="O71" i="3"/>
  <c r="U71" i="3"/>
  <c r="R69" i="10"/>
  <c r="AA69" i="10" l="1"/>
  <c r="AE69" i="10"/>
  <c r="H65" i="6"/>
  <c r="M65" i="6"/>
  <c r="J65" i="6"/>
  <c r="V65" i="6"/>
  <c r="W65" i="6" s="1"/>
  <c r="U68" i="10"/>
  <c r="N68" i="10"/>
  <c r="H70" i="3"/>
  <c r="K70" i="3"/>
  <c r="N70" i="3"/>
  <c r="AD70" i="3"/>
  <c r="AE70" i="3"/>
  <c r="S66" i="6"/>
  <c r="U66" i="6" s="1"/>
  <c r="P71" i="3"/>
  <c r="R71" i="3" s="1"/>
  <c r="Q71" i="3"/>
  <c r="W71" i="3"/>
  <c r="J63" i="5"/>
  <c r="K63" i="5" s="1"/>
  <c r="S63" i="5"/>
  <c r="O68" i="10"/>
  <c r="L68" i="10"/>
  <c r="X68" i="10"/>
  <c r="K67" i="10"/>
  <c r="AF68" i="10"/>
  <c r="H62" i="5"/>
  <c r="L62" i="5"/>
  <c r="G61" i="5"/>
  <c r="O62" i="5"/>
  <c r="R62" i="5"/>
  <c r="J67" i="10" l="1"/>
  <c r="W67" i="10"/>
  <c r="P67" i="10"/>
  <c r="M67" i="10"/>
  <c r="AC67" i="10"/>
  <c r="AB67" i="10"/>
  <c r="Y68" i="10"/>
  <c r="R68" i="10"/>
  <c r="R65" i="6"/>
  <c r="Q65" i="6"/>
  <c r="S65" i="6" s="1"/>
  <c r="U65" i="6" s="1"/>
  <c r="L65" i="6"/>
  <c r="P65" i="6" s="1"/>
  <c r="K64" i="6"/>
  <c r="O70" i="3"/>
  <c r="U70" i="3"/>
  <c r="T70" i="3"/>
  <c r="V70" i="3"/>
  <c r="M70" i="3"/>
  <c r="L69" i="3"/>
  <c r="AH70" i="3"/>
  <c r="I61" i="5"/>
  <c r="F61" i="5"/>
  <c r="T61" i="5"/>
  <c r="P62" i="5"/>
  <c r="AG71" i="3"/>
  <c r="AC71" i="3"/>
  <c r="V68" i="10"/>
  <c r="Q68" i="10" s="1"/>
  <c r="S68" i="10" s="1"/>
  <c r="J62" i="5" l="1"/>
  <c r="K62" i="5" s="1"/>
  <c r="S62" i="5"/>
  <c r="L61" i="5"/>
  <c r="H61" i="5"/>
  <c r="G60" i="5"/>
  <c r="R61" i="5"/>
  <c r="O61" i="5"/>
  <c r="AA68" i="10"/>
  <c r="AE68" i="10"/>
  <c r="H64" i="6"/>
  <c r="J64" i="6"/>
  <c r="M64" i="6"/>
  <c r="V64" i="6"/>
  <c r="W64" i="6" s="1"/>
  <c r="N67" i="10"/>
  <c r="P70" i="3"/>
  <c r="W70" i="3"/>
  <c r="Q70" i="3"/>
  <c r="H69" i="3"/>
  <c r="N69" i="3"/>
  <c r="K69" i="3"/>
  <c r="AD69" i="3"/>
  <c r="AE69" i="3"/>
  <c r="X67" i="10"/>
  <c r="L67" i="10"/>
  <c r="O67" i="10"/>
  <c r="K66" i="10"/>
  <c r="AF67" i="10"/>
  <c r="V69" i="3" l="1"/>
  <c r="M69" i="3"/>
  <c r="L68" i="3"/>
  <c r="AH69" i="3"/>
  <c r="O69" i="3"/>
  <c r="U69" i="3"/>
  <c r="J66" i="10"/>
  <c r="M66" i="10"/>
  <c r="P66" i="10"/>
  <c r="W66" i="10"/>
  <c r="AB66" i="10"/>
  <c r="AC66" i="10"/>
  <c r="Q64" i="6"/>
  <c r="S64" i="6" s="1"/>
  <c r="U64" i="6" s="1"/>
  <c r="L64" i="6"/>
  <c r="P64" i="6" s="1"/>
  <c r="R64" i="6"/>
  <c r="K63" i="6"/>
  <c r="F60" i="5"/>
  <c r="I60" i="5"/>
  <c r="T60" i="5"/>
  <c r="Q67" i="10"/>
  <c r="P61" i="5"/>
  <c r="R70" i="3"/>
  <c r="AG70" i="3"/>
  <c r="AC70" i="3"/>
  <c r="V67" i="10"/>
  <c r="Y67" i="10" s="1"/>
  <c r="U67" i="10"/>
  <c r="R67" i="10" s="1"/>
  <c r="AA67" i="10" l="1"/>
  <c r="AE67" i="10"/>
  <c r="S67" i="10"/>
  <c r="N68" i="3"/>
  <c r="K68" i="3"/>
  <c r="H68" i="3"/>
  <c r="AD68" i="3"/>
  <c r="AE68" i="3"/>
  <c r="N66" i="10"/>
  <c r="P69" i="3"/>
  <c r="W69" i="3"/>
  <c r="J61" i="5"/>
  <c r="K61" i="5" s="1"/>
  <c r="S61" i="5"/>
  <c r="H63" i="6"/>
  <c r="M63" i="6"/>
  <c r="J63" i="6"/>
  <c r="V63" i="6"/>
  <c r="W63" i="6" s="1"/>
  <c r="L66" i="10"/>
  <c r="U66" i="10" s="1"/>
  <c r="O66" i="10"/>
  <c r="X66" i="10"/>
  <c r="K65" i="10"/>
  <c r="AF66" i="10"/>
  <c r="L60" i="5"/>
  <c r="H60" i="5"/>
  <c r="O60" i="5" s="1"/>
  <c r="G59" i="5"/>
  <c r="T69" i="3"/>
  <c r="Q69" i="3" s="1"/>
  <c r="AC69" i="3" l="1"/>
  <c r="AG69" i="3"/>
  <c r="V68" i="3"/>
  <c r="M68" i="3"/>
  <c r="L67" i="3"/>
  <c r="AH68" i="3"/>
  <c r="O68" i="3"/>
  <c r="T68" i="3"/>
  <c r="R69" i="3"/>
  <c r="R60" i="5"/>
  <c r="V66" i="10"/>
  <c r="Q66" i="10" s="1"/>
  <c r="S66" i="10" s="1"/>
  <c r="F59" i="5"/>
  <c r="I59" i="5"/>
  <c r="T59" i="5"/>
  <c r="R63" i="6"/>
  <c r="Q63" i="6"/>
  <c r="S63" i="6" s="1"/>
  <c r="U63" i="6" s="1"/>
  <c r="L63" i="6"/>
  <c r="P63" i="6" s="1"/>
  <c r="K62" i="6"/>
  <c r="R66" i="10"/>
  <c r="Y66" i="10"/>
  <c r="P60" i="5"/>
  <c r="J65" i="10"/>
  <c r="W65" i="10" s="1"/>
  <c r="P65" i="10"/>
  <c r="M65" i="10"/>
  <c r="AC65" i="10"/>
  <c r="AB65" i="10"/>
  <c r="AE66" i="10" l="1"/>
  <c r="AA66" i="10"/>
  <c r="H67" i="3"/>
  <c r="N67" i="3"/>
  <c r="K67" i="3"/>
  <c r="AD67" i="3"/>
  <c r="AE67" i="3"/>
  <c r="J60" i="5"/>
  <c r="K60" i="5" s="1"/>
  <c r="S60" i="5"/>
  <c r="L59" i="5"/>
  <c r="H59" i="5"/>
  <c r="G58" i="5"/>
  <c r="H62" i="6"/>
  <c r="M62" i="6"/>
  <c r="J62" i="6"/>
  <c r="V62" i="6"/>
  <c r="W62" i="6" s="1"/>
  <c r="Q68" i="3"/>
  <c r="R59" i="5"/>
  <c r="O59" i="5"/>
  <c r="U65" i="10"/>
  <c r="O65" i="10"/>
  <c r="X65" i="10"/>
  <c r="L65" i="10"/>
  <c r="K64" i="10"/>
  <c r="AF65" i="10"/>
  <c r="N65" i="10"/>
  <c r="U68" i="3"/>
  <c r="P68" i="3" s="1"/>
  <c r="R68" i="3" s="1"/>
  <c r="M67" i="3" l="1"/>
  <c r="V67" i="3"/>
  <c r="L66" i="3"/>
  <c r="AH67" i="3"/>
  <c r="I58" i="5"/>
  <c r="F58" i="5"/>
  <c r="T58" i="5"/>
  <c r="O67" i="3"/>
  <c r="U67" i="3"/>
  <c r="Q62" i="6"/>
  <c r="R62" i="6"/>
  <c r="L62" i="6"/>
  <c r="P62" i="6" s="1"/>
  <c r="K61" i="6"/>
  <c r="W68" i="3"/>
  <c r="P59" i="5"/>
  <c r="V65" i="10"/>
  <c r="Q65" i="10" s="1"/>
  <c r="S65" i="10" s="1"/>
  <c r="J64" i="10"/>
  <c r="P64" i="10"/>
  <c r="W64" i="10"/>
  <c r="M64" i="10"/>
  <c r="AC64" i="10"/>
  <c r="AB64" i="10"/>
  <c r="R65" i="10"/>
  <c r="Y65" i="10"/>
  <c r="H61" i="6" l="1"/>
  <c r="J61" i="6"/>
  <c r="M61" i="6"/>
  <c r="V61" i="6"/>
  <c r="W61" i="6" s="1"/>
  <c r="L58" i="5"/>
  <c r="H58" i="5"/>
  <c r="G57" i="5"/>
  <c r="O58" i="5"/>
  <c r="AG68" i="3"/>
  <c r="AC68" i="3"/>
  <c r="N64" i="10"/>
  <c r="V64" i="10"/>
  <c r="S62" i="6"/>
  <c r="U62" i="6" s="1"/>
  <c r="K66" i="3"/>
  <c r="H66" i="3"/>
  <c r="N66" i="3"/>
  <c r="AD66" i="3"/>
  <c r="AE66" i="3"/>
  <c r="O64" i="10"/>
  <c r="X64" i="10"/>
  <c r="L64" i="10"/>
  <c r="K63" i="10"/>
  <c r="AF64" i="10"/>
  <c r="AA65" i="10"/>
  <c r="AE65" i="10"/>
  <c r="Q67" i="3"/>
  <c r="P67" i="3"/>
  <c r="R67" i="3" s="1"/>
  <c r="W67" i="3"/>
  <c r="J59" i="5"/>
  <c r="K59" i="5" s="1"/>
  <c r="S59" i="5"/>
  <c r="T67" i="3"/>
  <c r="AC67" i="3" l="1"/>
  <c r="AG67" i="3"/>
  <c r="Y64" i="10"/>
  <c r="I57" i="5"/>
  <c r="F57" i="5"/>
  <c r="T57" i="5"/>
  <c r="V66" i="3"/>
  <c r="M66" i="3"/>
  <c r="L65" i="3"/>
  <c r="AH66" i="3"/>
  <c r="Q64" i="10"/>
  <c r="J63" i="10"/>
  <c r="W63" i="10"/>
  <c r="M63" i="10"/>
  <c r="P63" i="10"/>
  <c r="AC63" i="10"/>
  <c r="AB63" i="10"/>
  <c r="P58" i="5"/>
  <c r="U64" i="10"/>
  <c r="R64" i="10" s="1"/>
  <c r="O66" i="3"/>
  <c r="T66" i="3"/>
  <c r="U66" i="3"/>
  <c r="R58" i="5"/>
  <c r="L61" i="6"/>
  <c r="P61" i="6" s="1"/>
  <c r="Q61" i="6"/>
  <c r="R61" i="6"/>
  <c r="H57" i="5" l="1"/>
  <c r="L57" i="5"/>
  <c r="G56" i="5"/>
  <c r="O63" i="10"/>
  <c r="L63" i="10"/>
  <c r="X63" i="10"/>
  <c r="K62" i="10"/>
  <c r="AF63" i="10"/>
  <c r="O57" i="5"/>
  <c r="R57" i="5"/>
  <c r="S64" i="10"/>
  <c r="U63" i="10"/>
  <c r="AA64" i="10"/>
  <c r="AE64" i="10"/>
  <c r="N63" i="10"/>
  <c r="J58" i="5"/>
  <c r="K58" i="5" s="1"/>
  <c r="S58" i="5"/>
  <c r="S61" i="6"/>
  <c r="U61" i="6" s="1"/>
  <c r="N65" i="3"/>
  <c r="H65" i="3"/>
  <c r="K65" i="3"/>
  <c r="AE65" i="3"/>
  <c r="AD65" i="3"/>
  <c r="W66" i="3"/>
  <c r="P66" i="3"/>
  <c r="Q66" i="3"/>
  <c r="J62" i="10" l="1"/>
  <c r="P62" i="10"/>
  <c r="M62" i="10"/>
  <c r="W62" i="10"/>
  <c r="AC62" i="10"/>
  <c r="AB62" i="10"/>
  <c r="V65" i="3"/>
  <c r="M65" i="3"/>
  <c r="L64" i="3"/>
  <c r="AH65" i="3"/>
  <c r="R63" i="10"/>
  <c r="R66" i="3"/>
  <c r="F56" i="5"/>
  <c r="I56" i="5"/>
  <c r="T56" i="5"/>
  <c r="O65" i="3"/>
  <c r="AC66" i="3"/>
  <c r="AG66" i="3"/>
  <c r="V63" i="10"/>
  <c r="Y63" i="10" s="1"/>
  <c r="P57" i="5"/>
  <c r="AA63" i="10" l="1"/>
  <c r="AE63" i="10"/>
  <c r="Q65" i="3"/>
  <c r="O56" i="5"/>
  <c r="R56" i="5"/>
  <c r="Q63" i="10"/>
  <c r="S63" i="10" s="1"/>
  <c r="T65" i="3"/>
  <c r="J57" i="5"/>
  <c r="K57" i="5" s="1"/>
  <c r="S57" i="5"/>
  <c r="N62" i="10"/>
  <c r="L56" i="5"/>
  <c r="H56" i="5"/>
  <c r="G55" i="5"/>
  <c r="U65" i="3"/>
  <c r="W65" i="3" s="1"/>
  <c r="H64" i="3"/>
  <c r="N64" i="3"/>
  <c r="K64" i="3"/>
  <c r="AE64" i="3"/>
  <c r="AD64" i="3"/>
  <c r="L62" i="10"/>
  <c r="U62" i="10" s="1"/>
  <c r="X62" i="10"/>
  <c r="O62" i="10"/>
  <c r="V62" i="10" s="1"/>
  <c r="K61" i="10"/>
  <c r="AF62" i="10"/>
  <c r="AC65" i="3" l="1"/>
  <c r="AG65" i="3"/>
  <c r="P65" i="3"/>
  <c r="R65" i="3" s="1"/>
  <c r="V64" i="3"/>
  <c r="M64" i="3"/>
  <c r="L63" i="3"/>
  <c r="AH64" i="3"/>
  <c r="J61" i="10"/>
  <c r="M61" i="10"/>
  <c r="P61" i="10"/>
  <c r="AB61" i="10"/>
  <c r="AC61" i="10"/>
  <c r="Q62" i="10"/>
  <c r="F55" i="5"/>
  <c r="I55" i="5"/>
  <c r="T55" i="5"/>
  <c r="O64" i="3"/>
  <c r="Y62" i="10"/>
  <c r="R62" i="10"/>
  <c r="P56" i="5"/>
  <c r="L61" i="10" l="1"/>
  <c r="O61" i="10"/>
  <c r="X61" i="10"/>
  <c r="K60" i="10"/>
  <c r="AF61" i="10"/>
  <c r="N63" i="3"/>
  <c r="K63" i="3"/>
  <c r="H63" i="3"/>
  <c r="AD63" i="3"/>
  <c r="AE63" i="3"/>
  <c r="J56" i="5"/>
  <c r="K56" i="5" s="1"/>
  <c r="S56" i="5"/>
  <c r="Q64" i="3"/>
  <c r="P64" i="3"/>
  <c r="R64" i="3" s="1"/>
  <c r="W64" i="3"/>
  <c r="S62" i="10"/>
  <c r="AA62" i="10"/>
  <c r="AE62" i="10"/>
  <c r="T64" i="3"/>
  <c r="U64" i="3"/>
  <c r="W61" i="10"/>
  <c r="O55" i="5"/>
  <c r="R55" i="5"/>
  <c r="L55" i="5"/>
  <c r="H55" i="5"/>
  <c r="G54" i="5"/>
  <c r="V61" i="10"/>
  <c r="N61" i="10"/>
  <c r="U61" i="10"/>
  <c r="V63" i="3" l="1"/>
  <c r="M63" i="3"/>
  <c r="L62" i="3"/>
  <c r="AH63" i="3"/>
  <c r="O63" i="3"/>
  <c r="U63" i="3"/>
  <c r="T63" i="3"/>
  <c r="AC64" i="3"/>
  <c r="AG64" i="3"/>
  <c r="J60" i="10"/>
  <c r="P60" i="10"/>
  <c r="W60" i="10"/>
  <c r="M60" i="10"/>
  <c r="AC60" i="10"/>
  <c r="AB60" i="10"/>
  <c r="F54" i="5"/>
  <c r="I54" i="5"/>
  <c r="T54" i="5"/>
  <c r="P55" i="5"/>
  <c r="Q61" i="10"/>
  <c r="R61" i="10"/>
  <c r="Y61" i="10"/>
  <c r="H54" i="5" l="1"/>
  <c r="L54" i="5"/>
  <c r="G53" i="5"/>
  <c r="AE61" i="10"/>
  <c r="AA61" i="10"/>
  <c r="S61" i="10"/>
  <c r="J55" i="5"/>
  <c r="K55" i="5" s="1"/>
  <c r="S55" i="5"/>
  <c r="W63" i="3"/>
  <c r="P63" i="3"/>
  <c r="Q63" i="3"/>
  <c r="N60" i="10"/>
  <c r="N62" i="3"/>
  <c r="K62" i="3"/>
  <c r="H62" i="3"/>
  <c r="AE62" i="3"/>
  <c r="AD62" i="3"/>
  <c r="L60" i="10"/>
  <c r="U60" i="10" s="1"/>
  <c r="X60" i="10"/>
  <c r="O60" i="10"/>
  <c r="K59" i="10"/>
  <c r="AF60" i="10"/>
  <c r="R54" i="5"/>
  <c r="O54" i="5"/>
  <c r="J59" i="10" l="1"/>
  <c r="P59" i="10"/>
  <c r="W59" i="10"/>
  <c r="M59" i="10"/>
  <c r="AC59" i="10"/>
  <c r="AB59" i="10"/>
  <c r="O62" i="3"/>
  <c r="V60" i="10"/>
  <c r="Q60" i="10" s="1"/>
  <c r="S60" i="10" s="1"/>
  <c r="R60" i="10"/>
  <c r="Y60" i="10"/>
  <c r="M62" i="3"/>
  <c r="V62" i="3"/>
  <c r="L61" i="3"/>
  <c r="AH62" i="3"/>
  <c r="R63" i="3"/>
  <c r="F53" i="5"/>
  <c r="I53" i="5"/>
  <c r="T53" i="5"/>
  <c r="AC63" i="3"/>
  <c r="AG63" i="3"/>
  <c r="P54" i="5"/>
  <c r="J54" i="5" l="1"/>
  <c r="K54" i="5" s="1"/>
  <c r="S54" i="5"/>
  <c r="Q62" i="3"/>
  <c r="H61" i="3"/>
  <c r="N61" i="3"/>
  <c r="K61" i="3"/>
  <c r="AD61" i="3"/>
  <c r="AE61" i="3"/>
  <c r="T62" i="3"/>
  <c r="AA60" i="10"/>
  <c r="AE60" i="10"/>
  <c r="O53" i="5"/>
  <c r="R53" i="5"/>
  <c r="H53" i="5"/>
  <c r="L53" i="5"/>
  <c r="G52" i="5"/>
  <c r="N59" i="10"/>
  <c r="V59" i="10"/>
  <c r="U62" i="3"/>
  <c r="W62" i="3" s="1"/>
  <c r="X59" i="10"/>
  <c r="L59" i="10"/>
  <c r="O59" i="10"/>
  <c r="K58" i="10"/>
  <c r="AF59" i="10"/>
  <c r="AC62" i="3" l="1"/>
  <c r="AG62" i="3"/>
  <c r="V61" i="3"/>
  <c r="M61" i="3"/>
  <c r="L60" i="3"/>
  <c r="AH61" i="3"/>
  <c r="P62" i="3"/>
  <c r="R62" i="3" s="1"/>
  <c r="I52" i="5"/>
  <c r="F52" i="5"/>
  <c r="T52" i="5"/>
  <c r="J58" i="10"/>
  <c r="W58" i="10"/>
  <c r="M58" i="10"/>
  <c r="P58" i="10"/>
  <c r="AC58" i="10"/>
  <c r="AB58" i="10"/>
  <c r="O61" i="3"/>
  <c r="P53" i="5"/>
  <c r="Q59" i="10"/>
  <c r="Y59" i="10"/>
  <c r="U59" i="10"/>
  <c r="R59" i="10" s="1"/>
  <c r="N60" i="3" l="1"/>
  <c r="K60" i="3"/>
  <c r="H60" i="3"/>
  <c r="AD60" i="3"/>
  <c r="AE60" i="3"/>
  <c r="Q61" i="3"/>
  <c r="S59" i="10"/>
  <c r="AA59" i="10"/>
  <c r="AE59" i="10"/>
  <c r="N58" i="10"/>
  <c r="T61" i="3"/>
  <c r="J53" i="5"/>
  <c r="K53" i="5" s="1"/>
  <c r="S53" i="5"/>
  <c r="U61" i="3"/>
  <c r="W61" i="3" s="1"/>
  <c r="O58" i="10"/>
  <c r="X58" i="10"/>
  <c r="L58" i="10"/>
  <c r="K57" i="10"/>
  <c r="AF58" i="10"/>
  <c r="L52" i="5"/>
  <c r="H52" i="5"/>
  <c r="G51" i="5"/>
  <c r="AC61" i="3" l="1"/>
  <c r="AG61" i="3"/>
  <c r="R58" i="10"/>
  <c r="M60" i="3"/>
  <c r="V60" i="3"/>
  <c r="L59" i="3"/>
  <c r="AH60" i="3"/>
  <c r="O60" i="3"/>
  <c r="F51" i="5"/>
  <c r="I51" i="5"/>
  <c r="T51" i="5"/>
  <c r="P61" i="3"/>
  <c r="R61" i="3" s="1"/>
  <c r="O52" i="5"/>
  <c r="P52" i="5" s="1"/>
  <c r="J57" i="10"/>
  <c r="M57" i="10"/>
  <c r="W57" i="10"/>
  <c r="P57" i="10"/>
  <c r="AB57" i="10"/>
  <c r="AC57" i="10"/>
  <c r="V58" i="10"/>
  <c r="Q58" i="10" s="1"/>
  <c r="S58" i="10" s="1"/>
  <c r="U58" i="10"/>
  <c r="R52" i="5"/>
  <c r="J52" i="5" l="1"/>
  <c r="K52" i="5" s="1"/>
  <c r="S52" i="5"/>
  <c r="H59" i="3"/>
  <c r="N59" i="3"/>
  <c r="K59" i="3"/>
  <c r="AE59" i="3"/>
  <c r="AD59" i="3"/>
  <c r="O57" i="10"/>
  <c r="L57" i="10"/>
  <c r="X57" i="10"/>
  <c r="K56" i="10"/>
  <c r="AF57" i="10"/>
  <c r="T60" i="3"/>
  <c r="Q60" i="3" s="1"/>
  <c r="Y58" i="10"/>
  <c r="V57" i="10"/>
  <c r="N57" i="10"/>
  <c r="U57" i="10"/>
  <c r="U60" i="3"/>
  <c r="W60" i="3" s="1"/>
  <c r="R51" i="5"/>
  <c r="O51" i="5"/>
  <c r="L51" i="5"/>
  <c r="H51" i="5"/>
  <c r="G50" i="5"/>
  <c r="AG60" i="3" l="1"/>
  <c r="AC60" i="3"/>
  <c r="J56" i="10"/>
  <c r="M56" i="10"/>
  <c r="W56" i="10"/>
  <c r="P56" i="10"/>
  <c r="AC56" i="10"/>
  <c r="AB56" i="10"/>
  <c r="M59" i="3"/>
  <c r="V59" i="3"/>
  <c r="L58" i="3"/>
  <c r="AH59" i="3"/>
  <c r="T59" i="3"/>
  <c r="O59" i="3"/>
  <c r="U59" i="3"/>
  <c r="Y57" i="10"/>
  <c r="R57" i="10"/>
  <c r="I50" i="5"/>
  <c r="F50" i="5"/>
  <c r="T50" i="5"/>
  <c r="Q57" i="10"/>
  <c r="S57" i="10" s="1"/>
  <c r="P51" i="5"/>
  <c r="P60" i="3"/>
  <c r="R60" i="3" s="1"/>
  <c r="AE58" i="10"/>
  <c r="AA58" i="10"/>
  <c r="N56" i="10" l="1"/>
  <c r="AE57" i="10"/>
  <c r="AA57" i="10"/>
  <c r="J51" i="5"/>
  <c r="K51" i="5" s="1"/>
  <c r="S51" i="5"/>
  <c r="U56" i="10"/>
  <c r="L50" i="5"/>
  <c r="H50" i="5"/>
  <c r="G49" i="5"/>
  <c r="X56" i="10"/>
  <c r="O56" i="10"/>
  <c r="L56" i="10"/>
  <c r="K55" i="10"/>
  <c r="AF56" i="10"/>
  <c r="N58" i="3"/>
  <c r="K58" i="3"/>
  <c r="H58" i="3"/>
  <c r="AE58" i="3"/>
  <c r="AD58" i="3"/>
  <c r="O50" i="5"/>
  <c r="R50" i="5"/>
  <c r="P59" i="3"/>
  <c r="R59" i="3" s="1"/>
  <c r="Q59" i="3"/>
  <c r="W59" i="3"/>
  <c r="O58" i="3" l="1"/>
  <c r="R56" i="10"/>
  <c r="J55" i="10"/>
  <c r="P55" i="10"/>
  <c r="W55" i="10"/>
  <c r="M55" i="10"/>
  <c r="AB55" i="10"/>
  <c r="AC55" i="10"/>
  <c r="AG59" i="3"/>
  <c r="AC59" i="3"/>
  <c r="F49" i="5"/>
  <c r="I49" i="5"/>
  <c r="T49" i="5"/>
  <c r="M58" i="3"/>
  <c r="V58" i="3"/>
  <c r="L57" i="3"/>
  <c r="AH58" i="3"/>
  <c r="P50" i="5"/>
  <c r="V56" i="10"/>
  <c r="Q56" i="10" s="1"/>
  <c r="S56" i="10" s="1"/>
  <c r="N55" i="10" l="1"/>
  <c r="H57" i="3"/>
  <c r="N57" i="3"/>
  <c r="K57" i="3"/>
  <c r="AD57" i="3"/>
  <c r="AE57" i="3"/>
  <c r="Y56" i="10"/>
  <c r="J50" i="5"/>
  <c r="K50" i="5" s="1"/>
  <c r="S50" i="5"/>
  <c r="X55" i="10"/>
  <c r="O55" i="10"/>
  <c r="L55" i="10"/>
  <c r="K54" i="10"/>
  <c r="AF55" i="10"/>
  <c r="P58" i="3"/>
  <c r="T58" i="3"/>
  <c r="Q58" i="3" s="1"/>
  <c r="L49" i="5"/>
  <c r="H49" i="5"/>
  <c r="O49" i="5" s="1"/>
  <c r="G48" i="5"/>
  <c r="U58" i="3"/>
  <c r="W58" i="3" s="1"/>
  <c r="AG58" i="3" l="1"/>
  <c r="AC58" i="3"/>
  <c r="R58" i="3"/>
  <c r="J54" i="10"/>
  <c r="M54" i="10"/>
  <c r="W54" i="10"/>
  <c r="P54" i="10"/>
  <c r="AB54" i="10"/>
  <c r="AC54" i="10"/>
  <c r="V57" i="3"/>
  <c r="M57" i="3"/>
  <c r="L56" i="3"/>
  <c r="AH57" i="3"/>
  <c r="R49" i="5"/>
  <c r="O57" i="3"/>
  <c r="AE56" i="10"/>
  <c r="AA56" i="10"/>
  <c r="P49" i="5"/>
  <c r="U55" i="10"/>
  <c r="R55" i="10" s="1"/>
  <c r="Q55" i="10"/>
  <c r="I48" i="5"/>
  <c r="F48" i="5"/>
  <c r="T48" i="5"/>
  <c r="V55" i="10"/>
  <c r="Y55" i="10" s="1"/>
  <c r="AE55" i="10" l="1"/>
  <c r="AA55" i="10"/>
  <c r="N54" i="10"/>
  <c r="O54" i="10"/>
  <c r="L54" i="10"/>
  <c r="U54" i="10" s="1"/>
  <c r="X54" i="10"/>
  <c r="K53" i="10"/>
  <c r="AF54" i="10"/>
  <c r="J49" i="5"/>
  <c r="K49" i="5" s="1"/>
  <c r="S49" i="5"/>
  <c r="U57" i="3"/>
  <c r="W57" i="3" s="1"/>
  <c r="S55" i="10"/>
  <c r="N56" i="3"/>
  <c r="K56" i="3"/>
  <c r="H56" i="3"/>
  <c r="AD56" i="3"/>
  <c r="AE56" i="3"/>
  <c r="L48" i="5"/>
  <c r="H48" i="5"/>
  <c r="G47" i="5"/>
  <c r="T57" i="3"/>
  <c r="Q57" i="3" s="1"/>
  <c r="AG57" i="3" l="1"/>
  <c r="AC57" i="3"/>
  <c r="P57" i="3"/>
  <c r="R57" i="3" s="1"/>
  <c r="V54" i="10"/>
  <c r="Q54" i="10" s="1"/>
  <c r="S54" i="10" s="1"/>
  <c r="R48" i="5"/>
  <c r="M56" i="3"/>
  <c r="V56" i="3"/>
  <c r="L55" i="3"/>
  <c r="AH56" i="3"/>
  <c r="R54" i="10"/>
  <c r="O48" i="5"/>
  <c r="P48" i="5" s="1"/>
  <c r="O56" i="3"/>
  <c r="F47" i="5"/>
  <c r="I47" i="5"/>
  <c r="T47" i="5"/>
  <c r="J53" i="10"/>
  <c r="W53" i="10"/>
  <c r="M53" i="10"/>
  <c r="P53" i="10"/>
  <c r="AC53" i="10"/>
  <c r="AB53" i="10"/>
  <c r="J48" i="5" l="1"/>
  <c r="K48" i="5" s="1"/>
  <c r="S48" i="5"/>
  <c r="Q56" i="3"/>
  <c r="W56" i="3"/>
  <c r="Y54" i="10"/>
  <c r="R47" i="5"/>
  <c r="O47" i="5"/>
  <c r="T56" i="3"/>
  <c r="O53" i="10"/>
  <c r="L53" i="10"/>
  <c r="X53" i="10"/>
  <c r="K52" i="10"/>
  <c r="AF53" i="10"/>
  <c r="L47" i="5"/>
  <c r="H47" i="5"/>
  <c r="G46" i="5"/>
  <c r="H55" i="3"/>
  <c r="N55" i="3"/>
  <c r="K55" i="3"/>
  <c r="AE55" i="3"/>
  <c r="AD55" i="3"/>
  <c r="N53" i="10"/>
  <c r="U56" i="3"/>
  <c r="P56" i="3" s="1"/>
  <c r="R56" i="3" s="1"/>
  <c r="AA54" i="10" l="1"/>
  <c r="AE54" i="10"/>
  <c r="AC56" i="3"/>
  <c r="AG56" i="3"/>
  <c r="Y53" i="10"/>
  <c r="J52" i="10"/>
  <c r="M52" i="10"/>
  <c r="P52" i="10"/>
  <c r="AC52" i="10"/>
  <c r="AB52" i="10"/>
  <c r="O55" i="3"/>
  <c r="U55" i="3"/>
  <c r="U53" i="10"/>
  <c r="R53" i="10" s="1"/>
  <c r="I46" i="5"/>
  <c r="F46" i="5"/>
  <c r="T46" i="5"/>
  <c r="V55" i="3"/>
  <c r="M55" i="3"/>
  <c r="T55" i="3" s="1"/>
  <c r="L54" i="3"/>
  <c r="AH55" i="3"/>
  <c r="Q53" i="10"/>
  <c r="V53" i="10"/>
  <c r="P47" i="5"/>
  <c r="AA53" i="10" l="1"/>
  <c r="AE53" i="10"/>
  <c r="S53" i="10"/>
  <c r="X52" i="10"/>
  <c r="L52" i="10"/>
  <c r="O52" i="10"/>
  <c r="K51" i="10"/>
  <c r="AF52" i="10"/>
  <c r="Q55" i="3"/>
  <c r="P55" i="3"/>
  <c r="R55" i="3" s="1"/>
  <c r="W55" i="3"/>
  <c r="J47" i="5"/>
  <c r="K47" i="5" s="1"/>
  <c r="S47" i="5"/>
  <c r="L46" i="5"/>
  <c r="H46" i="5"/>
  <c r="O46" i="5" s="1"/>
  <c r="G45" i="5"/>
  <c r="W52" i="10"/>
  <c r="N54" i="3"/>
  <c r="K54" i="3"/>
  <c r="H54" i="3"/>
  <c r="AE54" i="3"/>
  <c r="AD54" i="3"/>
  <c r="N52" i="10"/>
  <c r="Y52" i="10" l="1"/>
  <c r="AC55" i="3"/>
  <c r="AG55" i="3"/>
  <c r="P46" i="5"/>
  <c r="J51" i="10"/>
  <c r="W51" i="10" s="1"/>
  <c r="M51" i="10"/>
  <c r="P51" i="10"/>
  <c r="AC51" i="10"/>
  <c r="AB51" i="10"/>
  <c r="M54" i="3"/>
  <c r="V54" i="3"/>
  <c r="L53" i="3"/>
  <c r="AH54" i="3"/>
  <c r="V52" i="10"/>
  <c r="Q52" i="10" s="1"/>
  <c r="S52" i="10" s="1"/>
  <c r="O54" i="3"/>
  <c r="R46" i="5"/>
  <c r="I45" i="5"/>
  <c r="F45" i="5"/>
  <c r="T45" i="5"/>
  <c r="U52" i="10"/>
  <c r="R52" i="10" s="1"/>
  <c r="J46" i="5" l="1"/>
  <c r="K46" i="5" s="1"/>
  <c r="S46" i="5"/>
  <c r="L45" i="5"/>
  <c r="H45" i="5"/>
  <c r="G44" i="5"/>
  <c r="AA52" i="10"/>
  <c r="AE52" i="10"/>
  <c r="H53" i="3"/>
  <c r="N53" i="3"/>
  <c r="K53" i="3"/>
  <c r="AD53" i="3"/>
  <c r="AE53" i="3"/>
  <c r="L51" i="10"/>
  <c r="O51" i="10"/>
  <c r="X51" i="10"/>
  <c r="K50" i="10"/>
  <c r="AF51" i="10"/>
  <c r="U54" i="3"/>
  <c r="P54" i="3" s="1"/>
  <c r="N51" i="10"/>
  <c r="T54" i="3"/>
  <c r="Q54" i="3" s="1"/>
  <c r="U51" i="10"/>
  <c r="R54" i="3" l="1"/>
  <c r="F44" i="5"/>
  <c r="I44" i="5"/>
  <c r="T44" i="5"/>
  <c r="V53" i="3"/>
  <c r="M53" i="3"/>
  <c r="L52" i="3"/>
  <c r="AH53" i="3"/>
  <c r="O53" i="3"/>
  <c r="J50" i="10"/>
  <c r="M50" i="10"/>
  <c r="P50" i="10"/>
  <c r="W50" i="10"/>
  <c r="AC50" i="10"/>
  <c r="AB50" i="10"/>
  <c r="R51" i="10"/>
  <c r="O45" i="5"/>
  <c r="P45" i="5" s="1"/>
  <c r="W54" i="3"/>
  <c r="V51" i="10"/>
  <c r="Q51" i="10" s="1"/>
  <c r="S51" i="10" s="1"/>
  <c r="R45" i="5"/>
  <c r="J45" i="5" l="1"/>
  <c r="K45" i="5" s="1"/>
  <c r="S45" i="5"/>
  <c r="N52" i="3"/>
  <c r="K52" i="3"/>
  <c r="H52" i="3"/>
  <c r="AE52" i="3"/>
  <c r="AD52" i="3"/>
  <c r="Q53" i="3"/>
  <c r="N50" i="10"/>
  <c r="Y51" i="10"/>
  <c r="O44" i="5"/>
  <c r="R44" i="5"/>
  <c r="AC54" i="3"/>
  <c r="AG54" i="3"/>
  <c r="O50" i="10"/>
  <c r="X50" i="10"/>
  <c r="L50" i="10"/>
  <c r="U50" i="10" s="1"/>
  <c r="K49" i="10"/>
  <c r="AF50" i="10"/>
  <c r="L44" i="5"/>
  <c r="H44" i="5"/>
  <c r="G43" i="5"/>
  <c r="T53" i="3"/>
  <c r="U53" i="3"/>
  <c r="W53" i="3" s="1"/>
  <c r="AC53" i="3" l="1"/>
  <c r="AG53" i="3"/>
  <c r="AE51" i="10"/>
  <c r="AA51" i="10"/>
  <c r="M52" i="3"/>
  <c r="V52" i="3"/>
  <c r="L51" i="3"/>
  <c r="AH52" i="3"/>
  <c r="V50" i="10"/>
  <c r="Q50" i="10" s="1"/>
  <c r="S50" i="10" s="1"/>
  <c r="O52" i="3"/>
  <c r="U52" i="3"/>
  <c r="F43" i="5"/>
  <c r="I43" i="5"/>
  <c r="T43" i="5"/>
  <c r="P53" i="3"/>
  <c r="R53" i="3" s="1"/>
  <c r="J49" i="10"/>
  <c r="P49" i="10"/>
  <c r="M49" i="10"/>
  <c r="W49" i="10"/>
  <c r="AB49" i="10"/>
  <c r="AC49" i="10"/>
  <c r="Y50" i="10"/>
  <c r="R50" i="10"/>
  <c r="P44" i="5"/>
  <c r="P52" i="3" l="1"/>
  <c r="W52" i="3"/>
  <c r="T52" i="3"/>
  <c r="Q52" i="3" s="1"/>
  <c r="R43" i="5"/>
  <c r="O43" i="5"/>
  <c r="N49" i="10"/>
  <c r="AE50" i="10"/>
  <c r="AA50" i="10"/>
  <c r="H51" i="3"/>
  <c r="N51" i="3"/>
  <c r="K51" i="3"/>
  <c r="AE51" i="3"/>
  <c r="AD51" i="3"/>
  <c r="L43" i="5"/>
  <c r="H43" i="5"/>
  <c r="G42" i="5"/>
  <c r="J44" i="5"/>
  <c r="K44" i="5" s="1"/>
  <c r="S44" i="5"/>
  <c r="O49" i="10"/>
  <c r="L49" i="10"/>
  <c r="U49" i="10" s="1"/>
  <c r="X49" i="10"/>
  <c r="K48" i="10"/>
  <c r="AF49" i="10"/>
  <c r="V51" i="3" l="1"/>
  <c r="M51" i="3"/>
  <c r="L50" i="3"/>
  <c r="AH51" i="3"/>
  <c r="R49" i="10"/>
  <c r="I42" i="5"/>
  <c r="F42" i="5"/>
  <c r="T42" i="5"/>
  <c r="AG52" i="3"/>
  <c r="AC52" i="3"/>
  <c r="O51" i="3"/>
  <c r="U51" i="3"/>
  <c r="T51" i="3"/>
  <c r="R52" i="3"/>
  <c r="J48" i="10"/>
  <c r="W48" i="10"/>
  <c r="M48" i="10"/>
  <c r="P48" i="10"/>
  <c r="AC48" i="10"/>
  <c r="AB48" i="10"/>
  <c r="P43" i="5"/>
  <c r="V49" i="10"/>
  <c r="Q49" i="10" s="1"/>
  <c r="S49" i="10" s="1"/>
  <c r="J43" i="5" l="1"/>
  <c r="K43" i="5" s="1"/>
  <c r="S43" i="5"/>
  <c r="Y49" i="10"/>
  <c r="V48" i="10"/>
  <c r="N48" i="10"/>
  <c r="H50" i="3"/>
  <c r="N50" i="3"/>
  <c r="K50" i="3"/>
  <c r="AE50" i="3"/>
  <c r="AD50" i="3"/>
  <c r="U48" i="10"/>
  <c r="W51" i="3"/>
  <c r="P51" i="3"/>
  <c r="R51" i="3" s="1"/>
  <c r="Q51" i="3"/>
  <c r="O48" i="10"/>
  <c r="L48" i="10"/>
  <c r="X48" i="10"/>
  <c r="K47" i="10"/>
  <c r="AF48" i="10"/>
  <c r="L42" i="5"/>
  <c r="H42" i="5"/>
  <c r="G41" i="5"/>
  <c r="AG51" i="3" l="1"/>
  <c r="AC51" i="3"/>
  <c r="AA49" i="10"/>
  <c r="AE49" i="10"/>
  <c r="R48" i="10"/>
  <c r="Y48" i="10"/>
  <c r="M50" i="3"/>
  <c r="V50" i="3"/>
  <c r="L49" i="3"/>
  <c r="AH50" i="3"/>
  <c r="J47" i="10"/>
  <c r="W47" i="10"/>
  <c r="M47" i="10"/>
  <c r="P47" i="10"/>
  <c r="AB47" i="10"/>
  <c r="AC47" i="10"/>
  <c r="Q48" i="10"/>
  <c r="O50" i="3"/>
  <c r="R42" i="5"/>
  <c r="F41" i="5"/>
  <c r="I41" i="5"/>
  <c r="T41" i="5"/>
  <c r="O42" i="5"/>
  <c r="P42" i="5" s="1"/>
  <c r="J42" i="5" l="1"/>
  <c r="K42" i="5" s="1"/>
  <c r="S42" i="5"/>
  <c r="P50" i="3"/>
  <c r="R41" i="5"/>
  <c r="O41" i="5"/>
  <c r="X47" i="10"/>
  <c r="L47" i="10"/>
  <c r="O47" i="10"/>
  <c r="K46" i="10"/>
  <c r="AF47" i="10"/>
  <c r="N47" i="10"/>
  <c r="V47" i="10"/>
  <c r="U47" i="10"/>
  <c r="T50" i="3"/>
  <c r="Q50" i="3" s="1"/>
  <c r="U50" i="3"/>
  <c r="W50" i="3" s="1"/>
  <c r="L41" i="5"/>
  <c r="H41" i="5"/>
  <c r="G40" i="5"/>
  <c r="S48" i="10"/>
  <c r="K49" i="3"/>
  <c r="N49" i="3"/>
  <c r="H49" i="3"/>
  <c r="AD49" i="3"/>
  <c r="AE49" i="3"/>
  <c r="AE48" i="10"/>
  <c r="AA48" i="10"/>
  <c r="AC50" i="3" l="1"/>
  <c r="AG50" i="3"/>
  <c r="R50" i="3"/>
  <c r="P41" i="5"/>
  <c r="J46" i="10"/>
  <c r="P46" i="10"/>
  <c r="M46" i="10"/>
  <c r="W46" i="10"/>
  <c r="AC46" i="10"/>
  <c r="AB46" i="10"/>
  <c r="Q47" i="10"/>
  <c r="F40" i="5"/>
  <c r="I40" i="5"/>
  <c r="T40" i="5"/>
  <c r="Y47" i="10"/>
  <c r="R47" i="10"/>
  <c r="O49" i="3"/>
  <c r="V49" i="3"/>
  <c r="M49" i="3"/>
  <c r="L48" i="3"/>
  <c r="AH49" i="3"/>
  <c r="N48" i="3" l="1"/>
  <c r="K48" i="3"/>
  <c r="H48" i="3"/>
  <c r="AE48" i="3"/>
  <c r="AD48" i="3"/>
  <c r="U46" i="10"/>
  <c r="P49" i="3"/>
  <c r="W49" i="3"/>
  <c r="O46" i="10"/>
  <c r="L46" i="10"/>
  <c r="X46" i="10"/>
  <c r="K45" i="10"/>
  <c r="AF46" i="10"/>
  <c r="J41" i="5"/>
  <c r="K41" i="5" s="1"/>
  <c r="S41" i="5"/>
  <c r="S47" i="10"/>
  <c r="AE47" i="10"/>
  <c r="AA47" i="10"/>
  <c r="V46" i="10"/>
  <c r="N46" i="10"/>
  <c r="T49" i="3"/>
  <c r="Q49" i="3" s="1"/>
  <c r="O40" i="5"/>
  <c r="L40" i="5"/>
  <c r="H40" i="5"/>
  <c r="G39" i="5"/>
  <c r="U49" i="3"/>
  <c r="AC49" i="3" l="1"/>
  <c r="AG49" i="3"/>
  <c r="J45" i="10"/>
  <c r="P45" i="10"/>
  <c r="M45" i="10"/>
  <c r="W45" i="10"/>
  <c r="AC45" i="10"/>
  <c r="AB45" i="10"/>
  <c r="P40" i="5"/>
  <c r="R46" i="10"/>
  <c r="Y46" i="10"/>
  <c r="I39" i="5"/>
  <c r="F39" i="5"/>
  <c r="T39" i="5"/>
  <c r="Q46" i="10"/>
  <c r="S46" i="10" s="1"/>
  <c r="M48" i="3"/>
  <c r="T48" i="3" s="1"/>
  <c r="V48" i="3"/>
  <c r="L47" i="3"/>
  <c r="AH48" i="3"/>
  <c r="R49" i="3"/>
  <c r="R40" i="5"/>
  <c r="O48" i="3"/>
  <c r="U48" i="3" l="1"/>
  <c r="N45" i="10"/>
  <c r="V45" i="10"/>
  <c r="AE46" i="10"/>
  <c r="AA46" i="10"/>
  <c r="O45" i="10"/>
  <c r="X45" i="10"/>
  <c r="L45" i="10"/>
  <c r="K44" i="10"/>
  <c r="AF45" i="10"/>
  <c r="P48" i="3"/>
  <c r="R48" i="3" s="1"/>
  <c r="W48" i="3"/>
  <c r="Q48" i="3"/>
  <c r="L39" i="5"/>
  <c r="H39" i="5"/>
  <c r="O39" i="5" s="1"/>
  <c r="G38" i="5"/>
  <c r="H47" i="3"/>
  <c r="N47" i="3"/>
  <c r="K47" i="3"/>
  <c r="AD47" i="3"/>
  <c r="AE47" i="3"/>
  <c r="J40" i="5"/>
  <c r="K40" i="5" s="1"/>
  <c r="S40" i="5"/>
  <c r="AG48" i="3" l="1"/>
  <c r="AC48" i="3"/>
  <c r="J44" i="10"/>
  <c r="P44" i="10"/>
  <c r="W44" i="10"/>
  <c r="M44" i="10"/>
  <c r="AC44" i="10"/>
  <c r="AB44" i="10"/>
  <c r="V47" i="3"/>
  <c r="M47" i="3"/>
  <c r="L46" i="3"/>
  <c r="AH47" i="3"/>
  <c r="F38" i="5"/>
  <c r="I38" i="5"/>
  <c r="T38" i="5"/>
  <c r="R45" i="10"/>
  <c r="Y45" i="10"/>
  <c r="P39" i="5"/>
  <c r="R39" i="5"/>
  <c r="Q45" i="10"/>
  <c r="U45" i="10"/>
  <c r="O47" i="3"/>
  <c r="U47" i="3"/>
  <c r="T47" i="3"/>
  <c r="N44" i="10" l="1"/>
  <c r="O38" i="5"/>
  <c r="K46" i="3"/>
  <c r="N46" i="3"/>
  <c r="H46" i="3"/>
  <c r="AD46" i="3"/>
  <c r="AE46" i="3"/>
  <c r="X44" i="10"/>
  <c r="L44" i="10"/>
  <c r="O44" i="10"/>
  <c r="K43" i="10"/>
  <c r="AF44" i="10"/>
  <c r="U44" i="10"/>
  <c r="L38" i="5"/>
  <c r="H38" i="5"/>
  <c r="R38" i="5" s="1"/>
  <c r="G37" i="5"/>
  <c r="J39" i="5"/>
  <c r="K39" i="5" s="1"/>
  <c r="S39" i="5"/>
  <c r="W47" i="3"/>
  <c r="P47" i="3"/>
  <c r="Q47" i="3"/>
  <c r="S45" i="10"/>
  <c r="AA45" i="10"/>
  <c r="AE45" i="10"/>
  <c r="O46" i="3" l="1"/>
  <c r="AG47" i="3"/>
  <c r="AC47" i="3"/>
  <c r="M46" i="3"/>
  <c r="V46" i="3"/>
  <c r="L45" i="3"/>
  <c r="AH46" i="3"/>
  <c r="R44" i="10"/>
  <c r="F37" i="5"/>
  <c r="I37" i="5"/>
  <c r="T37" i="5"/>
  <c r="R47" i="3"/>
  <c r="J43" i="10"/>
  <c r="M43" i="10"/>
  <c r="W43" i="10"/>
  <c r="P43" i="10"/>
  <c r="AB43" i="10"/>
  <c r="AC43" i="10"/>
  <c r="P38" i="5"/>
  <c r="V44" i="10"/>
  <c r="Y44" i="10" s="1"/>
  <c r="AE44" i="10" l="1"/>
  <c r="AA44" i="10"/>
  <c r="Q46" i="3"/>
  <c r="J38" i="5"/>
  <c r="K38" i="5" s="1"/>
  <c r="S38" i="5"/>
  <c r="L37" i="5"/>
  <c r="H37" i="5"/>
  <c r="G36" i="5"/>
  <c r="Q44" i="10"/>
  <c r="S44" i="10" s="1"/>
  <c r="R37" i="5"/>
  <c r="O37" i="5"/>
  <c r="V43" i="10"/>
  <c r="N43" i="10"/>
  <c r="T46" i="3"/>
  <c r="K45" i="3"/>
  <c r="H45" i="3"/>
  <c r="N45" i="3"/>
  <c r="AD45" i="3"/>
  <c r="AE45" i="3"/>
  <c r="U43" i="10"/>
  <c r="X43" i="10"/>
  <c r="O43" i="10"/>
  <c r="L43" i="10"/>
  <c r="K42" i="10"/>
  <c r="AF43" i="10"/>
  <c r="U46" i="3"/>
  <c r="W46" i="3" s="1"/>
  <c r="AC46" i="3" l="1"/>
  <c r="AG46" i="3"/>
  <c r="P46" i="3"/>
  <c r="R46" i="3" s="1"/>
  <c r="O45" i="3"/>
  <c r="J42" i="10"/>
  <c r="P42" i="10"/>
  <c r="M42" i="10"/>
  <c r="AC42" i="10"/>
  <c r="AB42" i="10"/>
  <c r="Y43" i="10"/>
  <c r="R43" i="10"/>
  <c r="M45" i="3"/>
  <c r="V45" i="3"/>
  <c r="L44" i="3"/>
  <c r="AH45" i="3"/>
  <c r="I36" i="5"/>
  <c r="F36" i="5"/>
  <c r="T36" i="5"/>
  <c r="Q43" i="10"/>
  <c r="P37" i="5"/>
  <c r="N42" i="10" l="1"/>
  <c r="J37" i="5"/>
  <c r="K37" i="5" s="1"/>
  <c r="S37" i="5"/>
  <c r="X42" i="10"/>
  <c r="L42" i="10"/>
  <c r="O42" i="10"/>
  <c r="K41" i="10"/>
  <c r="AF42" i="10"/>
  <c r="U45" i="3"/>
  <c r="P45" i="3" s="1"/>
  <c r="AA43" i="10"/>
  <c r="AE43" i="10"/>
  <c r="H36" i="5"/>
  <c r="L36" i="5"/>
  <c r="S43" i="10"/>
  <c r="T45" i="3"/>
  <c r="Q45" i="3" s="1"/>
  <c r="H44" i="3"/>
  <c r="N44" i="3"/>
  <c r="K44" i="3"/>
  <c r="AE44" i="3"/>
  <c r="AD44" i="3"/>
  <c r="W42" i="10"/>
  <c r="R45" i="3" l="1"/>
  <c r="J41" i="10"/>
  <c r="M41" i="10"/>
  <c r="P41" i="10"/>
  <c r="W41" i="10"/>
  <c r="AB41" i="10"/>
  <c r="AC41" i="10"/>
  <c r="Q42" i="10"/>
  <c r="W45" i="3"/>
  <c r="M44" i="3"/>
  <c r="V44" i="3"/>
  <c r="L43" i="3"/>
  <c r="AH44" i="3"/>
  <c r="R36" i="5"/>
  <c r="V42" i="10"/>
  <c r="Y42" i="10" s="1"/>
  <c r="U42" i="10"/>
  <c r="R42" i="10" s="1"/>
  <c r="O36" i="5"/>
  <c r="P36" i="5" s="1"/>
  <c r="U44" i="3"/>
  <c r="O44" i="3"/>
  <c r="T44" i="3"/>
  <c r="AA42" i="10" l="1"/>
  <c r="AE42" i="10"/>
  <c r="J36" i="5"/>
  <c r="K36" i="5" s="1"/>
  <c r="S36" i="5"/>
  <c r="V41" i="10"/>
  <c r="N41" i="10"/>
  <c r="U41" i="10"/>
  <c r="S42" i="10"/>
  <c r="O41" i="10"/>
  <c r="L41" i="10"/>
  <c r="X41" i="10"/>
  <c r="K40" i="10"/>
  <c r="AF41" i="10"/>
  <c r="K43" i="3"/>
  <c r="N43" i="3"/>
  <c r="H43" i="3"/>
  <c r="AE43" i="3"/>
  <c r="AD43" i="3"/>
  <c r="Q44" i="3"/>
  <c r="W44" i="3"/>
  <c r="P44" i="3"/>
  <c r="R44" i="3" s="1"/>
  <c r="AG45" i="3"/>
  <c r="AC45" i="3"/>
  <c r="O43" i="3" l="1"/>
  <c r="J40" i="10"/>
  <c r="P40" i="10"/>
  <c r="W40" i="10"/>
  <c r="M40" i="10"/>
  <c r="AB40" i="10"/>
  <c r="AC40" i="10"/>
  <c r="V43" i="3"/>
  <c r="M43" i="3"/>
  <c r="L42" i="3"/>
  <c r="AH43" i="3"/>
  <c r="R41" i="10"/>
  <c r="Y41" i="10"/>
  <c r="AC44" i="3"/>
  <c r="AG44" i="3"/>
  <c r="Q41" i="10"/>
  <c r="AA41" i="10" l="1"/>
  <c r="AE41" i="10"/>
  <c r="O40" i="10"/>
  <c r="X40" i="10"/>
  <c r="L40" i="10"/>
  <c r="K39" i="10"/>
  <c r="AF40" i="10"/>
  <c r="N40" i="10"/>
  <c r="T43" i="3"/>
  <c r="Q43" i="3" s="1"/>
  <c r="S41" i="10"/>
  <c r="N42" i="3"/>
  <c r="K42" i="3"/>
  <c r="H42" i="3"/>
  <c r="AE42" i="3"/>
  <c r="AD42" i="3"/>
  <c r="U43" i="3"/>
  <c r="W43" i="3" s="1"/>
  <c r="AC43" i="3" l="1"/>
  <c r="AG43" i="3"/>
  <c r="U42" i="3"/>
  <c r="O42" i="3"/>
  <c r="R40" i="10"/>
  <c r="U40" i="10"/>
  <c r="J39" i="10"/>
  <c r="W39" i="10" s="1"/>
  <c r="P39" i="10"/>
  <c r="M39" i="10"/>
  <c r="AB39" i="10"/>
  <c r="AC39" i="10"/>
  <c r="P43" i="3"/>
  <c r="R43" i="3" s="1"/>
  <c r="V42" i="3"/>
  <c r="M42" i="3"/>
  <c r="T42" i="3" s="1"/>
  <c r="L41" i="3"/>
  <c r="AH42" i="3"/>
  <c r="V40" i="10"/>
  <c r="Q40" i="10" s="1"/>
  <c r="S40" i="10" s="1"/>
  <c r="Y40" i="10" l="1"/>
  <c r="N39" i="10"/>
  <c r="P42" i="3"/>
  <c r="R42" i="3" s="1"/>
  <c r="W42" i="3"/>
  <c r="Q42" i="3"/>
  <c r="H41" i="3"/>
  <c r="N41" i="3"/>
  <c r="K41" i="3"/>
  <c r="AE41" i="3"/>
  <c r="AD41" i="3"/>
  <c r="O39" i="10"/>
  <c r="L39" i="10"/>
  <c r="X39" i="10"/>
  <c r="K38" i="10"/>
  <c r="AF39" i="10"/>
  <c r="V39" i="10" l="1"/>
  <c r="Q39" i="10" s="1"/>
  <c r="S39" i="10" s="1"/>
  <c r="AG42" i="3"/>
  <c r="AC42" i="3"/>
  <c r="J38" i="10"/>
  <c r="W38" i="10"/>
  <c r="P38" i="10"/>
  <c r="M38" i="10"/>
  <c r="AC38" i="10"/>
  <c r="AB38" i="10"/>
  <c r="Y39" i="10"/>
  <c r="R39" i="10"/>
  <c r="V41" i="3"/>
  <c r="M41" i="3"/>
  <c r="L40" i="3"/>
  <c r="AH41" i="3"/>
  <c r="U39" i="10"/>
  <c r="O41" i="3"/>
  <c r="AE40" i="10"/>
  <c r="AA40" i="10"/>
  <c r="O38" i="10" l="1"/>
  <c r="X38" i="10"/>
  <c r="L38" i="10"/>
  <c r="AF38" i="10"/>
  <c r="K40" i="3"/>
  <c r="H40" i="3"/>
  <c r="N40" i="3"/>
  <c r="AD40" i="3"/>
  <c r="AE40" i="3"/>
  <c r="AA39" i="10"/>
  <c r="AE39" i="10"/>
  <c r="N38" i="10"/>
  <c r="V38" i="10"/>
  <c r="P41" i="3"/>
  <c r="W41" i="3"/>
  <c r="Q41" i="3"/>
  <c r="U38" i="10"/>
  <c r="U41" i="3"/>
  <c r="T41" i="3"/>
  <c r="R41" i="3" l="1"/>
  <c r="M40" i="3"/>
  <c r="V40" i="3"/>
  <c r="L39" i="3"/>
  <c r="AH40" i="3"/>
  <c r="AC41" i="3"/>
  <c r="AG41" i="3"/>
  <c r="R38" i="10"/>
  <c r="Y38" i="10"/>
  <c r="U40" i="3"/>
  <c r="O40" i="3"/>
  <c r="T40" i="3"/>
  <c r="Q38" i="10"/>
  <c r="K39" i="3" l="1"/>
  <c r="N39" i="3"/>
  <c r="H39" i="3"/>
  <c r="AE39" i="3"/>
  <c r="AD39" i="3"/>
  <c r="S38" i="10"/>
  <c r="Q40" i="3"/>
  <c r="W40" i="3"/>
  <c r="P40" i="3"/>
  <c r="AE38" i="10"/>
  <c r="AA38" i="10"/>
  <c r="AC40" i="3" l="1"/>
  <c r="AG40" i="3"/>
  <c r="O39" i="3"/>
  <c r="R40" i="3"/>
  <c r="V39" i="3"/>
  <c r="M39" i="3"/>
  <c r="L38" i="3"/>
  <c r="AH39" i="3"/>
  <c r="T39" i="3" l="1"/>
  <c r="Q39" i="3" s="1"/>
  <c r="U39" i="3"/>
  <c r="P39" i="3" s="1"/>
  <c r="R39" i="3" s="1"/>
  <c r="H38" i="3"/>
  <c r="N38" i="3"/>
  <c r="K38" i="3"/>
  <c r="AE38" i="3"/>
  <c r="AD38" i="3"/>
  <c r="M38" i="3" l="1"/>
  <c r="V38" i="3"/>
  <c r="L37" i="3"/>
  <c r="AH38" i="3"/>
  <c r="W39" i="3"/>
  <c r="U38" i="3"/>
  <c r="O38" i="3"/>
  <c r="T38" i="3"/>
  <c r="AG39" i="3" l="1"/>
  <c r="AC39" i="3"/>
  <c r="K37" i="3"/>
  <c r="N37" i="3"/>
  <c r="H37" i="3"/>
  <c r="AE37" i="3"/>
  <c r="AD37" i="3"/>
  <c r="P38" i="3"/>
  <c r="R38" i="3" s="1"/>
  <c r="Q38" i="3"/>
  <c r="W38" i="3"/>
  <c r="O37" i="3" l="1"/>
  <c r="M37" i="3"/>
  <c r="V37" i="3"/>
  <c r="L36" i="3"/>
  <c r="AH37" i="3"/>
  <c r="AG38" i="3"/>
  <c r="AC38" i="3"/>
  <c r="U37" i="3" l="1"/>
  <c r="W37" i="3" s="1"/>
  <c r="K36" i="3"/>
  <c r="H36" i="3"/>
  <c r="N36" i="3"/>
  <c r="AE36" i="3"/>
  <c r="AD36" i="3"/>
  <c r="T37" i="3"/>
  <c r="Q37" i="3" s="1"/>
  <c r="AG37" i="3" l="1"/>
  <c r="AC37" i="3"/>
  <c r="O36" i="3"/>
  <c r="P37" i="3"/>
  <c r="R37" i="3" s="1"/>
  <c r="V36" i="3"/>
  <c r="M36" i="3"/>
  <c r="L35" i="3"/>
  <c r="AH36" i="3"/>
  <c r="U36" i="3" l="1"/>
  <c r="W36" i="3" s="1"/>
  <c r="T36" i="3"/>
  <c r="Q36" i="3" s="1"/>
  <c r="K35" i="3"/>
  <c r="H35" i="3"/>
  <c r="N35" i="3"/>
  <c r="AE35" i="3"/>
  <c r="AD35" i="3"/>
  <c r="AG36" i="3" l="1"/>
  <c r="AC36" i="3"/>
  <c r="P36" i="3"/>
  <c r="R36" i="3" s="1"/>
  <c r="O35" i="3"/>
  <c r="V35" i="3"/>
  <c r="M35" i="3"/>
  <c r="T35" i="3" s="1"/>
  <c r="AH35" i="3"/>
  <c r="Q35" i="3" l="1"/>
  <c r="U35" i="3"/>
  <c r="W35" i="3" s="1"/>
  <c r="AG35" i="3" l="1"/>
  <c r="AC35" i="3"/>
  <c r="P35" i="3"/>
  <c r="R3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100-000001000000}">
      <text>
        <r>
          <rPr>
            <b/>
            <sz val="8"/>
            <color indexed="81"/>
            <rFont val="Tahoma"/>
            <family val="2"/>
          </rPr>
          <t xml:space="preserve">Der Geometriewert (z.B. Beckenlänge)
 ist durch den Sicherheitsbeiwert zu dividieren. </t>
        </r>
        <r>
          <rPr>
            <sz val="8"/>
            <color indexed="81"/>
            <rFont val="Tahoma"/>
            <family val="2"/>
          </rPr>
          <t xml:space="preserve">
</t>
        </r>
      </text>
    </comment>
    <comment ref="V13" authorId="0" shapeId="0" xr:uid="{00000000-0006-0000-0100-000002000000}">
      <text>
        <r>
          <rPr>
            <sz val="9"/>
            <color indexed="81"/>
            <rFont val="Segoe UI"/>
            <family val="2"/>
          </rPr>
          <t xml:space="preserve">
</t>
        </r>
        <r>
          <rPr>
            <b/>
            <sz val="9"/>
            <color indexed="81"/>
            <rFont val="Segoe UI"/>
            <family val="2"/>
          </rPr>
          <t>Achtung: Sg in Zelle E5 muss korrekt gewählt sein.</t>
        </r>
      </text>
    </comment>
    <comment ref="X13" authorId="0" shapeId="0" xr:uid="{00000000-0006-0000-0100-000003000000}">
      <text>
        <r>
          <rPr>
            <b/>
            <sz val="9"/>
            <color indexed="81"/>
            <rFont val="Tahoma"/>
            <family val="2"/>
          </rPr>
          <t>Ohne Einbauten, daher Sg=0,9 angesetzt !!!</t>
        </r>
        <r>
          <rPr>
            <sz val="9"/>
            <color indexed="81"/>
            <rFont val="Tahoma"/>
            <family val="2"/>
          </rPr>
          <t xml:space="preserve">
</t>
        </r>
      </text>
    </comment>
    <comment ref="K14" authorId="0" shapeId="0" xr:uid="{00000000-0006-0000-0100-000004000000}">
      <text>
        <r>
          <rPr>
            <b/>
            <sz val="9"/>
            <color indexed="81"/>
            <rFont val="Tahoma"/>
            <family val="2"/>
          </rPr>
          <t>Wenn sicher von geringeren Fischlängen (Gutachten oder Aussage OFB) auszugehen ist, können die Werte ggf. entsprechend reduziert werden. Dann Werte der Spalte in nächster Spalte korrigieren.</t>
        </r>
        <r>
          <rPr>
            <sz val="9"/>
            <color indexed="81"/>
            <rFont val="Tahoma"/>
            <family val="2"/>
          </rPr>
          <t xml:space="preserve">
</t>
        </r>
      </text>
    </comment>
    <comment ref="L14" authorId="0" shapeId="0" xr:uid="{00000000-0006-0000-0100-000005000000}">
      <text>
        <r>
          <rPr>
            <b/>
            <sz val="9"/>
            <color indexed="81"/>
            <rFont val="Tahoma"/>
            <family val="2"/>
          </rPr>
          <t>Wenn sicher von geringeren Fischlängen (Gutachten oder Aussage OFB) auszugehen ist, können die Werte ggf. entsprechend reduziert werden. Dann Werte in dieser Spalte korrigieren.</t>
        </r>
      </text>
    </comment>
    <comment ref="P14" authorId="0" shapeId="0" xr:uid="{00000000-0006-0000-0100-000006000000}">
      <text>
        <r>
          <rPr>
            <b/>
            <sz val="9"/>
            <color indexed="81"/>
            <rFont val="Tahoma"/>
            <family val="2"/>
          </rPr>
          <t>Für beckenartige Raugerinne.
Bei ausreichendem Gewässerabfluss sollten aus betrieblichen Gründen die größeren Werte der Tabelle</t>
        </r>
        <r>
          <rPr>
            <b/>
            <sz val="9"/>
            <color indexed="81"/>
            <rFont val="Calibri"/>
            <family val="2"/>
          </rPr>
          <t> </t>
        </r>
        <r>
          <rPr>
            <b/>
            <sz val="9"/>
            <color indexed="81"/>
            <rFont val="Tahoma"/>
            <family val="2"/>
          </rPr>
          <t xml:space="preserve">37, M509, S. 186 verwendet werden.
</t>
        </r>
        <r>
          <rPr>
            <sz val="9"/>
            <color indexed="81"/>
            <rFont val="Tahoma"/>
            <family val="2"/>
          </rPr>
          <t xml:space="preserve">
</t>
        </r>
      </text>
    </comment>
    <comment ref="Q14" authorId="0" shapeId="0" xr:uid="{00000000-0006-0000-0100-000007000000}">
      <text>
        <r>
          <rPr>
            <b/>
            <u/>
            <sz val="10"/>
            <color indexed="81"/>
            <rFont val="Tahoma"/>
            <family val="2"/>
          </rPr>
          <t>Wert gilt nur für Engstellen in Raugerinnen mit Beckenstruktur.</t>
        </r>
        <r>
          <rPr>
            <sz val="9"/>
            <color indexed="81"/>
            <rFont val="Tahoma"/>
            <family val="2"/>
          </rPr>
          <t xml:space="preserve"> 
Dies ist die Wassertiefe hu, wie sie zur Bemessung anzuwenden ist. Z.B. als Mindest-Unterwasser-Stand oberhalb der OK von Schwellen in Riegelschlitzen. 
</t>
        </r>
        <r>
          <rPr>
            <b/>
            <sz val="9"/>
            <color indexed="81"/>
            <rFont val="Tahoma"/>
            <family val="2"/>
          </rPr>
          <t xml:space="preserve">Die jeweilige Differenz von heff zu hbem </t>
        </r>
        <r>
          <rPr>
            <b/>
            <u/>
            <sz val="9"/>
            <color indexed="81"/>
            <rFont val="Tahoma"/>
            <family val="2"/>
          </rPr>
          <t>bei Raugerinnen mit Beckenstruktur</t>
        </r>
        <r>
          <rPr>
            <b/>
            <sz val="9"/>
            <color indexed="81"/>
            <rFont val="Tahoma"/>
            <family val="2"/>
          </rPr>
          <t xml:space="preserve"> wurde im M509 bei der Festlegung von Sg berücksichtigt.
h</t>
        </r>
        <r>
          <rPr>
            <b/>
            <vertAlign val="subscript"/>
            <sz val="11"/>
            <color indexed="81"/>
            <rFont val="Tahoma"/>
            <family val="2"/>
          </rPr>
          <t>D,bem.</t>
        </r>
        <r>
          <rPr>
            <b/>
            <sz val="9"/>
            <color indexed="81"/>
            <rFont val="Tahoma"/>
            <family val="2"/>
          </rPr>
          <t>= 2,0  • H</t>
        </r>
        <r>
          <rPr>
            <b/>
            <vertAlign val="subscript"/>
            <sz val="11"/>
            <color indexed="81"/>
            <rFont val="Tahoma"/>
            <family val="2"/>
          </rPr>
          <t xml:space="preserve">Fisch </t>
        </r>
        <r>
          <rPr>
            <b/>
            <sz val="11"/>
            <color indexed="81"/>
            <rFont val="Tahoma"/>
            <family val="2"/>
          </rPr>
          <t>/ s</t>
        </r>
        <r>
          <rPr>
            <b/>
            <vertAlign val="subscript"/>
            <sz val="11"/>
            <color indexed="81"/>
            <rFont val="Tahoma"/>
            <family val="2"/>
          </rPr>
          <t xml:space="preserve">g
</t>
        </r>
      </text>
    </comment>
    <comment ref="R14" authorId="0" shapeId="0" xr:uid="{00000000-0006-0000-0100-000008000000}">
      <text>
        <r>
          <rPr>
            <sz val="9"/>
            <color indexed="81"/>
            <rFont val="Tahoma"/>
            <family val="2"/>
          </rPr>
          <t xml:space="preserve">Dies ist die Wassertiefe hu, wie sie als Mindesttiefe (d.h. direkt unterhalb der Riegel) in Rampen mit Beckenstrukturen zur Bemessung anzuwenden ist. 
</t>
        </r>
        <r>
          <rPr>
            <b/>
            <sz val="9"/>
            <color indexed="81"/>
            <rFont val="Tahoma"/>
            <family val="2"/>
          </rPr>
          <t>Die jeweilige Differenz von heff zu hbem bei</t>
        </r>
        <r>
          <rPr>
            <b/>
            <u/>
            <sz val="9"/>
            <color indexed="81"/>
            <rFont val="Tahoma"/>
            <family val="2"/>
          </rPr>
          <t xml:space="preserve"> Raugerinnen mit Beckenstruktur </t>
        </r>
        <r>
          <rPr>
            <b/>
            <sz val="9"/>
            <color indexed="81"/>
            <rFont val="Tahoma"/>
            <family val="2"/>
          </rPr>
          <t>wurde im M509 bei der Festlegung von Sg berücksichtigt.
h</t>
        </r>
        <r>
          <rPr>
            <b/>
            <vertAlign val="subscript"/>
            <sz val="11"/>
            <color indexed="81"/>
            <rFont val="Tahoma"/>
            <family val="2"/>
          </rPr>
          <t>u,bem.</t>
        </r>
        <r>
          <rPr>
            <b/>
            <sz val="9"/>
            <color indexed="81"/>
            <rFont val="Tahoma"/>
            <family val="2"/>
          </rPr>
          <t>= 2,5  • H</t>
        </r>
        <r>
          <rPr>
            <b/>
            <vertAlign val="subscript"/>
            <sz val="11"/>
            <color indexed="81"/>
            <rFont val="Tahoma"/>
            <family val="2"/>
          </rPr>
          <t xml:space="preserve">Fisch </t>
        </r>
        <r>
          <rPr>
            <b/>
            <sz val="11"/>
            <color indexed="81"/>
            <rFont val="Tahoma"/>
            <family val="2"/>
          </rPr>
          <t>/ s</t>
        </r>
        <r>
          <rPr>
            <b/>
            <vertAlign val="subscript"/>
            <sz val="11"/>
            <color indexed="81"/>
            <rFont val="Tahoma"/>
            <family val="2"/>
          </rPr>
          <t xml:space="preserve">g
</t>
        </r>
      </text>
    </comment>
    <comment ref="S14" authorId="0" shapeId="0" xr:uid="{00000000-0006-0000-0100-000009000000}">
      <text>
        <r>
          <rPr>
            <b/>
            <sz val="9"/>
            <color indexed="81"/>
            <rFont val="Tahoma"/>
            <family val="2"/>
          </rPr>
          <t xml:space="preserve">heff,bem.= 2,5  • HFisch / sg
Bei Störsteinbauweisen gilt der hier erhaltene Wert als heff (Höhe oberhalb der Steinspitzen).
Hu,bem. Ist dementsprechend etwas höher zu wählen.
(um (ds/6), wobei sich ds auf die Steingröße des Sohldeckwerks, nicht auf die Störsteine bezieht)
</t>
        </r>
      </text>
    </comment>
    <comment ref="T14" authorId="0" shapeId="0" xr:uid="{00000000-0006-0000-0100-00000A000000}">
      <text>
        <r>
          <rPr>
            <b/>
            <sz val="9"/>
            <color indexed="81"/>
            <rFont val="Tahoma"/>
            <family val="2"/>
          </rPr>
          <t>2 • ax-dS</t>
        </r>
        <r>
          <rPr>
            <b/>
            <sz val="11"/>
            <color indexed="81"/>
            <rFont val="Tahoma"/>
            <family val="2"/>
          </rPr>
          <t xml:space="preserve"> </t>
        </r>
        <r>
          <rPr>
            <b/>
            <sz val="11"/>
            <color indexed="81"/>
            <rFont val="Calibri"/>
            <family val="2"/>
          </rPr>
          <t>≥</t>
        </r>
        <r>
          <rPr>
            <b/>
            <sz val="9"/>
            <color indexed="81"/>
            <rFont val="Tahoma"/>
            <family val="2"/>
          </rPr>
          <t xml:space="preserve"> 3 • L</t>
        </r>
        <r>
          <rPr>
            <b/>
            <vertAlign val="subscript"/>
            <sz val="11"/>
            <color indexed="81"/>
            <rFont val="Tahoma"/>
            <family val="2"/>
          </rPr>
          <t>Fisch</t>
        </r>
        <r>
          <rPr>
            <b/>
            <sz val="9"/>
            <color indexed="81"/>
            <rFont val="Tahoma"/>
            <family val="2"/>
          </rPr>
          <t xml:space="preserve"> / S</t>
        </r>
        <r>
          <rPr>
            <b/>
            <vertAlign val="subscript"/>
            <sz val="11"/>
            <color indexed="81"/>
            <rFont val="Tahoma"/>
            <family val="2"/>
          </rPr>
          <t>g</t>
        </r>
      </text>
    </comment>
    <comment ref="U14" authorId="0" shapeId="0" xr:uid="{00000000-0006-0000-0100-00000B000000}">
      <text>
        <r>
          <rPr>
            <b/>
            <sz val="9"/>
            <color indexed="81"/>
            <rFont val="Tahoma"/>
            <family val="2"/>
          </rPr>
          <t>ay - ds ≥ 6 • D</t>
        </r>
        <r>
          <rPr>
            <b/>
            <vertAlign val="subscript"/>
            <sz val="11"/>
            <color indexed="81"/>
            <rFont val="Tahoma"/>
            <family val="2"/>
          </rPr>
          <t xml:space="preserve">Fisch </t>
        </r>
        <r>
          <rPr>
            <b/>
            <sz val="9"/>
            <color indexed="81"/>
            <rFont val="Tahoma"/>
            <family val="2"/>
          </rPr>
          <t>/ S</t>
        </r>
        <r>
          <rPr>
            <b/>
            <vertAlign val="subscript"/>
            <sz val="11"/>
            <color indexed="81"/>
            <rFont val="Tahoma"/>
            <family val="2"/>
          </rPr>
          <t>g</t>
        </r>
        <r>
          <rPr>
            <b/>
            <sz val="9"/>
            <color indexed="81"/>
            <rFont val="Tahoma"/>
            <family val="2"/>
          </rPr>
          <t xml:space="preserve">
</t>
        </r>
        <r>
          <rPr>
            <sz val="9"/>
            <color indexed="81"/>
            <rFont val="Tahoma"/>
            <family val="2"/>
          </rPr>
          <t xml:space="preserve">
</t>
        </r>
        <r>
          <rPr>
            <u val="double"/>
            <sz val="9"/>
            <color indexed="81"/>
            <rFont val="Tahoma"/>
            <family val="2"/>
          </rPr>
          <t>Zusätzlich zu beachten !!!</t>
        </r>
        <r>
          <rPr>
            <sz val="9"/>
            <color indexed="81"/>
            <rFont val="Tahoma"/>
            <family val="2"/>
          </rPr>
          <t xml:space="preserve">
</t>
        </r>
        <r>
          <rPr>
            <b/>
            <sz val="9"/>
            <color indexed="81"/>
            <rFont val="Tahoma"/>
            <family val="2"/>
          </rPr>
          <t>ay ≥ 0,9 • ax  bei Störsteinbauweise</t>
        </r>
      </text>
    </comment>
    <comment ref="V14" authorId="0" shapeId="0" xr:uid="{00000000-0006-0000-0100-00000C000000}">
      <text>
        <r>
          <rPr>
            <b/>
            <u/>
            <sz val="10"/>
            <color indexed="81"/>
            <rFont val="Tahoma"/>
            <family val="2"/>
          </rPr>
          <t>Wert gilt nur für Engstellen in Raugerinnen mit Beckenstruktur.</t>
        </r>
        <r>
          <rPr>
            <sz val="9"/>
            <color indexed="81"/>
            <rFont val="Tahoma"/>
            <family val="2"/>
          </rPr>
          <t xml:space="preserve"> 
Dies ist die Wassertiefe hu, wie sie zur Bemessung anzuwenden ist. Z.B. als Mindest-Unterwasser-Stand oberhalb der OK von Schwellen in Riegelschlitzen. 
</t>
        </r>
        <r>
          <rPr>
            <b/>
            <sz val="9"/>
            <color indexed="81"/>
            <rFont val="Tahoma"/>
            <family val="2"/>
          </rPr>
          <t xml:space="preserve">Die jeweilige Differenz von heff zu hbem </t>
        </r>
        <r>
          <rPr>
            <b/>
            <u/>
            <sz val="9"/>
            <color indexed="81"/>
            <rFont val="Tahoma"/>
            <family val="2"/>
          </rPr>
          <t>bei Raugerinnen mit Beckenstruktur</t>
        </r>
        <r>
          <rPr>
            <b/>
            <sz val="9"/>
            <color indexed="81"/>
            <rFont val="Tahoma"/>
            <family val="2"/>
          </rPr>
          <t xml:space="preserve"> wurde im M509 bei der Festlegung von Sg berücksichtigt.
h</t>
        </r>
        <r>
          <rPr>
            <b/>
            <vertAlign val="subscript"/>
            <sz val="11"/>
            <color indexed="81"/>
            <rFont val="Tahoma"/>
            <family val="2"/>
          </rPr>
          <t>u,bem.</t>
        </r>
        <r>
          <rPr>
            <b/>
            <sz val="9"/>
            <color indexed="81"/>
            <rFont val="Tahoma"/>
            <family val="2"/>
          </rPr>
          <t>= 2,0  • H</t>
        </r>
        <r>
          <rPr>
            <b/>
            <vertAlign val="subscript"/>
            <sz val="11"/>
            <color indexed="81"/>
            <rFont val="Tahoma"/>
            <family val="2"/>
          </rPr>
          <t xml:space="preserve">Fisch </t>
        </r>
        <r>
          <rPr>
            <b/>
            <sz val="11"/>
            <color indexed="81"/>
            <rFont val="Tahoma"/>
            <family val="2"/>
          </rPr>
          <t>/ s</t>
        </r>
        <r>
          <rPr>
            <b/>
            <vertAlign val="subscript"/>
            <sz val="11"/>
            <color indexed="81"/>
            <rFont val="Tahoma"/>
            <family val="2"/>
          </rPr>
          <t xml:space="preserve">g
</t>
        </r>
      </text>
    </comment>
    <comment ref="W14" authorId="0" shapeId="0" xr:uid="{00000000-0006-0000-0100-00000D000000}">
      <text>
        <r>
          <rPr>
            <b/>
            <sz val="9"/>
            <color indexed="81"/>
            <rFont val="Tahoma"/>
            <family val="2"/>
          </rPr>
          <t xml:space="preserve">heff,bem.= 2,5  • HFisch / sg
Bei Störsteinbauweisen gilt der hier erhaltene Wert als heff (Höhe oberhalb der Steinspitzen).
Hu,bem. Ist dementsprechend etwas höher zu wählen.
(um (ds/6), wobei sich ds auf die Steingröße des Sohldeckwerks, nicht auf die Störsteine bezieht)
</t>
        </r>
      </text>
    </comment>
    <comment ref="X14" authorId="0" shapeId="0" xr:uid="{00000000-0006-0000-0100-00000E000000}">
      <text>
        <r>
          <rPr>
            <b/>
            <sz val="9"/>
            <color indexed="81"/>
            <rFont val="Tahoma"/>
            <family val="2"/>
          </rPr>
          <t>Bmin = 6 • dFisch / Sg</t>
        </r>
        <r>
          <rPr>
            <sz val="9"/>
            <color indexed="81"/>
            <rFont val="Tahoma"/>
            <family val="2"/>
          </rPr>
          <t xml:space="preserve">
</t>
        </r>
      </text>
    </comment>
    <comment ref="Y14" authorId="0" shapeId="0" xr:uid="{00000000-0006-0000-0100-00000F000000}">
      <text>
        <r>
          <rPr>
            <b/>
            <sz val="9"/>
            <color indexed="81"/>
            <rFont val="Tahoma"/>
            <family val="2"/>
          </rPr>
          <t>Bmin = 9
 • dFisch / Sg</t>
        </r>
        <r>
          <rPr>
            <sz val="9"/>
            <color indexed="81"/>
            <rFont val="Tahoma"/>
            <family val="2"/>
          </rPr>
          <t xml:space="preserve">
</t>
        </r>
      </text>
    </comment>
    <comment ref="V38" authorId="0" shapeId="0" xr:uid="{00000000-0006-0000-0100-000010000000}">
      <text>
        <r>
          <rPr>
            <sz val="9"/>
            <color indexed="81"/>
            <rFont val="Segoe UI"/>
            <family val="2"/>
          </rPr>
          <t xml:space="preserve">
</t>
        </r>
        <r>
          <rPr>
            <b/>
            <sz val="9"/>
            <color indexed="81"/>
            <rFont val="Segoe UI"/>
            <family val="2"/>
          </rPr>
          <t>Achtung: Sg in Zelle E5 muss korrekt gewählt sein.</t>
        </r>
      </text>
    </comment>
    <comment ref="X38" authorId="0" shapeId="0" xr:uid="{00000000-0006-0000-0100-000011000000}">
      <text>
        <r>
          <rPr>
            <b/>
            <sz val="9"/>
            <color indexed="81"/>
            <rFont val="Tahoma"/>
            <family val="2"/>
          </rPr>
          <t>Ohne Einbauten, daher Sg=0,9 angesetzt !!!</t>
        </r>
        <r>
          <rPr>
            <sz val="9"/>
            <color indexed="81"/>
            <rFont val="Tahoma"/>
            <family val="2"/>
          </rPr>
          <t xml:space="preserve">
</t>
        </r>
      </text>
    </comment>
    <comment ref="K39" authorId="0" shapeId="0" xr:uid="{00000000-0006-0000-0100-000012000000}">
      <text>
        <r>
          <rPr>
            <b/>
            <sz val="9"/>
            <color indexed="81"/>
            <rFont val="Tahoma"/>
            <family val="2"/>
          </rPr>
          <t>Wenn sicher von geringeren Fischlängen (Gutachten oder Aussage OFB) auszugehen ist, können die Werte ggf. entsprechend reduziert werden. Dann Werte der Spalte in nächster Spalte korrigieren.</t>
        </r>
        <r>
          <rPr>
            <sz val="9"/>
            <color indexed="81"/>
            <rFont val="Tahoma"/>
            <family val="2"/>
          </rPr>
          <t xml:space="preserve">
</t>
        </r>
      </text>
    </comment>
    <comment ref="L39" authorId="0" shapeId="0" xr:uid="{00000000-0006-0000-0100-000013000000}">
      <text>
        <r>
          <rPr>
            <b/>
            <sz val="9"/>
            <color indexed="81"/>
            <rFont val="Tahoma"/>
            <family val="2"/>
          </rPr>
          <t>Wenn sicher von geringeren Fischlängen (Gutachten oder Aussage OFB) auszugehen ist, können die Werte ggf. entsprechend reduziert werden. Dann Werte in dieser Spalte korrigieren.</t>
        </r>
      </text>
    </comment>
    <comment ref="P39" authorId="0" shapeId="0" xr:uid="{00000000-0006-0000-0100-000014000000}">
      <text>
        <r>
          <rPr>
            <b/>
            <sz val="9"/>
            <color indexed="81"/>
            <rFont val="Tahoma"/>
            <family val="2"/>
          </rPr>
          <t>Für beckenartige Raugerinne.
Bei ausreichendem Gewässerabfluss sollten aus betrieblichen Gründen die größeren Werte der Tabelle</t>
        </r>
        <r>
          <rPr>
            <b/>
            <sz val="9"/>
            <color indexed="81"/>
            <rFont val="Calibri"/>
            <family val="2"/>
          </rPr>
          <t> </t>
        </r>
        <r>
          <rPr>
            <b/>
            <sz val="9"/>
            <color indexed="81"/>
            <rFont val="Tahoma"/>
            <family val="2"/>
          </rPr>
          <t xml:space="preserve">37, M509, S. 186 verwendet werden.
</t>
        </r>
        <r>
          <rPr>
            <sz val="9"/>
            <color indexed="81"/>
            <rFont val="Tahoma"/>
            <family val="2"/>
          </rPr>
          <t xml:space="preserve">
</t>
        </r>
      </text>
    </comment>
    <comment ref="Q39" authorId="0" shapeId="0" xr:uid="{00000000-0006-0000-0100-000015000000}">
      <text>
        <r>
          <rPr>
            <b/>
            <u/>
            <sz val="10"/>
            <color indexed="81"/>
            <rFont val="Tahoma"/>
            <family val="2"/>
          </rPr>
          <t>Wert gilt nur für Engstellen in Raugerinnen mit Beckenstruktur.</t>
        </r>
        <r>
          <rPr>
            <sz val="9"/>
            <color indexed="81"/>
            <rFont val="Tahoma"/>
            <family val="2"/>
          </rPr>
          <t xml:space="preserve"> 
Dies ist die Wassertiefe hu, wie sie zur Bemessung anzuwenden ist. Z.B. als Mindest-Unterwasser-Stand oberhalb der OK von Schwellen in Riegelschlitzen. 
</t>
        </r>
        <r>
          <rPr>
            <b/>
            <sz val="9"/>
            <color indexed="81"/>
            <rFont val="Tahoma"/>
            <family val="2"/>
          </rPr>
          <t xml:space="preserve">Die jeweilige Differenz von heff zu hbem </t>
        </r>
        <r>
          <rPr>
            <b/>
            <u/>
            <sz val="9"/>
            <color indexed="81"/>
            <rFont val="Tahoma"/>
            <family val="2"/>
          </rPr>
          <t>bei Raugerinnen mit Beckenstruktur</t>
        </r>
        <r>
          <rPr>
            <b/>
            <sz val="9"/>
            <color indexed="81"/>
            <rFont val="Tahoma"/>
            <family val="2"/>
          </rPr>
          <t xml:space="preserve"> wurde im M509 bei der Festlegung von Sg berücksichtigt.
h</t>
        </r>
        <r>
          <rPr>
            <b/>
            <vertAlign val="subscript"/>
            <sz val="11"/>
            <color indexed="81"/>
            <rFont val="Tahoma"/>
            <family val="2"/>
          </rPr>
          <t>D,bem.</t>
        </r>
        <r>
          <rPr>
            <b/>
            <sz val="9"/>
            <color indexed="81"/>
            <rFont val="Tahoma"/>
            <family val="2"/>
          </rPr>
          <t>= 2,0  • H</t>
        </r>
        <r>
          <rPr>
            <b/>
            <vertAlign val="subscript"/>
            <sz val="11"/>
            <color indexed="81"/>
            <rFont val="Tahoma"/>
            <family val="2"/>
          </rPr>
          <t xml:space="preserve">Fisch </t>
        </r>
        <r>
          <rPr>
            <b/>
            <sz val="11"/>
            <color indexed="81"/>
            <rFont val="Tahoma"/>
            <family val="2"/>
          </rPr>
          <t>/ s</t>
        </r>
        <r>
          <rPr>
            <b/>
            <vertAlign val="subscript"/>
            <sz val="11"/>
            <color indexed="81"/>
            <rFont val="Tahoma"/>
            <family val="2"/>
          </rPr>
          <t xml:space="preserve">g
</t>
        </r>
      </text>
    </comment>
    <comment ref="R39" authorId="0" shapeId="0" xr:uid="{00000000-0006-0000-0100-000016000000}">
      <text>
        <r>
          <rPr>
            <sz val="9"/>
            <color indexed="81"/>
            <rFont val="Tahoma"/>
            <family val="2"/>
          </rPr>
          <t xml:space="preserve">Dies ist die Wassertiefe hu, wie sie als Mindesttiefe (d.h. direkt unterhalb der Riegel) in Rampen mit Beckenstrukturen zur Bemessung anzuwenden ist. 
</t>
        </r>
        <r>
          <rPr>
            <b/>
            <sz val="9"/>
            <color indexed="81"/>
            <rFont val="Tahoma"/>
            <family val="2"/>
          </rPr>
          <t>Die jeweilige Differenz von heff zu hbem bei</t>
        </r>
        <r>
          <rPr>
            <b/>
            <u/>
            <sz val="9"/>
            <color indexed="81"/>
            <rFont val="Tahoma"/>
            <family val="2"/>
          </rPr>
          <t xml:space="preserve"> Raugerinnen mit Beckenstruktur </t>
        </r>
        <r>
          <rPr>
            <b/>
            <sz val="9"/>
            <color indexed="81"/>
            <rFont val="Tahoma"/>
            <family val="2"/>
          </rPr>
          <t>wurde im M509 bei der Festlegung von Sg berücksichtigt.
h</t>
        </r>
        <r>
          <rPr>
            <b/>
            <vertAlign val="subscript"/>
            <sz val="11"/>
            <color indexed="81"/>
            <rFont val="Tahoma"/>
            <family val="2"/>
          </rPr>
          <t>u,bem.</t>
        </r>
        <r>
          <rPr>
            <b/>
            <sz val="9"/>
            <color indexed="81"/>
            <rFont val="Tahoma"/>
            <family val="2"/>
          </rPr>
          <t>= 2,5  • H</t>
        </r>
        <r>
          <rPr>
            <b/>
            <vertAlign val="subscript"/>
            <sz val="11"/>
            <color indexed="81"/>
            <rFont val="Tahoma"/>
            <family val="2"/>
          </rPr>
          <t xml:space="preserve">Fisch </t>
        </r>
        <r>
          <rPr>
            <b/>
            <sz val="11"/>
            <color indexed="81"/>
            <rFont val="Tahoma"/>
            <family val="2"/>
          </rPr>
          <t>/ s</t>
        </r>
        <r>
          <rPr>
            <b/>
            <vertAlign val="subscript"/>
            <sz val="11"/>
            <color indexed="81"/>
            <rFont val="Tahoma"/>
            <family val="2"/>
          </rPr>
          <t xml:space="preserve">g
</t>
        </r>
      </text>
    </comment>
    <comment ref="S39" authorId="0" shapeId="0" xr:uid="{00000000-0006-0000-0100-000017000000}">
      <text>
        <r>
          <rPr>
            <b/>
            <sz val="9"/>
            <color indexed="81"/>
            <rFont val="Tahoma"/>
            <family val="2"/>
          </rPr>
          <t xml:space="preserve">heff,bem.= 2,5  • HFisch / sg
Bei Störsteinbauweisen gilt der hier erhaltene Wert als heff (Höhe oberhalb der Steinspitzen).
Hu,bem. Ist dementsprechend etwas höher zu wählen.
(um (ds/6), wobei sich ds auf die Steingröße des Sohldeckwerks, nicht auf die Störsteine bezieht)
</t>
        </r>
      </text>
    </comment>
    <comment ref="T39" authorId="0" shapeId="0" xr:uid="{00000000-0006-0000-0100-000018000000}">
      <text>
        <r>
          <rPr>
            <b/>
            <sz val="9"/>
            <color indexed="81"/>
            <rFont val="Tahoma"/>
            <family val="2"/>
          </rPr>
          <t>2 • ax-dS</t>
        </r>
        <r>
          <rPr>
            <b/>
            <sz val="11"/>
            <color indexed="81"/>
            <rFont val="Tahoma"/>
            <family val="2"/>
          </rPr>
          <t xml:space="preserve"> </t>
        </r>
        <r>
          <rPr>
            <b/>
            <sz val="11"/>
            <color indexed="81"/>
            <rFont val="Calibri"/>
            <family val="2"/>
          </rPr>
          <t>≥</t>
        </r>
        <r>
          <rPr>
            <b/>
            <sz val="9"/>
            <color indexed="81"/>
            <rFont val="Tahoma"/>
            <family val="2"/>
          </rPr>
          <t xml:space="preserve"> 3 • L</t>
        </r>
        <r>
          <rPr>
            <b/>
            <vertAlign val="subscript"/>
            <sz val="11"/>
            <color indexed="81"/>
            <rFont val="Tahoma"/>
            <family val="2"/>
          </rPr>
          <t>Fisch</t>
        </r>
        <r>
          <rPr>
            <b/>
            <sz val="9"/>
            <color indexed="81"/>
            <rFont val="Tahoma"/>
            <family val="2"/>
          </rPr>
          <t xml:space="preserve"> / S</t>
        </r>
        <r>
          <rPr>
            <b/>
            <vertAlign val="subscript"/>
            <sz val="11"/>
            <color indexed="81"/>
            <rFont val="Tahoma"/>
            <family val="2"/>
          </rPr>
          <t>g</t>
        </r>
      </text>
    </comment>
    <comment ref="U39" authorId="0" shapeId="0" xr:uid="{00000000-0006-0000-0100-000019000000}">
      <text>
        <r>
          <rPr>
            <b/>
            <sz val="9"/>
            <color indexed="81"/>
            <rFont val="Tahoma"/>
            <family val="2"/>
          </rPr>
          <t>ay - ds ≥ 6 • D</t>
        </r>
        <r>
          <rPr>
            <b/>
            <vertAlign val="subscript"/>
            <sz val="11"/>
            <color indexed="81"/>
            <rFont val="Tahoma"/>
            <family val="2"/>
          </rPr>
          <t xml:space="preserve">Fisch </t>
        </r>
        <r>
          <rPr>
            <b/>
            <sz val="9"/>
            <color indexed="81"/>
            <rFont val="Tahoma"/>
            <family val="2"/>
          </rPr>
          <t>/ S</t>
        </r>
        <r>
          <rPr>
            <b/>
            <vertAlign val="subscript"/>
            <sz val="11"/>
            <color indexed="81"/>
            <rFont val="Tahoma"/>
            <family val="2"/>
          </rPr>
          <t>g</t>
        </r>
        <r>
          <rPr>
            <b/>
            <sz val="9"/>
            <color indexed="81"/>
            <rFont val="Tahoma"/>
            <family val="2"/>
          </rPr>
          <t xml:space="preserve">
</t>
        </r>
        <r>
          <rPr>
            <sz val="9"/>
            <color indexed="81"/>
            <rFont val="Tahoma"/>
            <family val="2"/>
          </rPr>
          <t xml:space="preserve">
</t>
        </r>
        <r>
          <rPr>
            <u val="double"/>
            <sz val="9"/>
            <color indexed="81"/>
            <rFont val="Tahoma"/>
            <family val="2"/>
          </rPr>
          <t>Zusätzlich zu beachten !!!</t>
        </r>
        <r>
          <rPr>
            <sz val="9"/>
            <color indexed="81"/>
            <rFont val="Tahoma"/>
            <family val="2"/>
          </rPr>
          <t xml:space="preserve">
</t>
        </r>
        <r>
          <rPr>
            <b/>
            <sz val="9"/>
            <color indexed="81"/>
            <rFont val="Tahoma"/>
            <family val="2"/>
          </rPr>
          <t>ay ≥ 0,9 • ax  bei Störsteinbauweise</t>
        </r>
      </text>
    </comment>
    <comment ref="V39" authorId="0" shapeId="0" xr:uid="{00000000-0006-0000-0100-00001A000000}">
      <text>
        <r>
          <rPr>
            <b/>
            <u/>
            <sz val="10"/>
            <color indexed="81"/>
            <rFont val="Tahoma"/>
            <family val="2"/>
          </rPr>
          <t>Wert gilt nur für Engstellen in Raugerinnen mit Beckenstruktur.</t>
        </r>
        <r>
          <rPr>
            <sz val="9"/>
            <color indexed="81"/>
            <rFont val="Tahoma"/>
            <family val="2"/>
          </rPr>
          <t xml:space="preserve"> 
Dies ist die Wassertiefe hu, wie sie zur Bemessung anzuwenden ist. Z.B. als Mindest-Unterwasser-Stand oberhalb der OK von Schwellen in Riegelschlitzen. 
</t>
        </r>
        <r>
          <rPr>
            <b/>
            <sz val="9"/>
            <color indexed="81"/>
            <rFont val="Tahoma"/>
            <family val="2"/>
          </rPr>
          <t xml:space="preserve">Die jeweilige Differenz von heff zu hbem </t>
        </r>
        <r>
          <rPr>
            <b/>
            <u/>
            <sz val="9"/>
            <color indexed="81"/>
            <rFont val="Tahoma"/>
            <family val="2"/>
          </rPr>
          <t>bei Raugerinnen mit Beckenstruktur</t>
        </r>
        <r>
          <rPr>
            <b/>
            <sz val="9"/>
            <color indexed="81"/>
            <rFont val="Tahoma"/>
            <family val="2"/>
          </rPr>
          <t xml:space="preserve"> wurde im M509 bei der Festlegung von Sg berücksichtigt.
h</t>
        </r>
        <r>
          <rPr>
            <b/>
            <vertAlign val="subscript"/>
            <sz val="11"/>
            <color indexed="81"/>
            <rFont val="Tahoma"/>
            <family val="2"/>
          </rPr>
          <t>u,bem.</t>
        </r>
        <r>
          <rPr>
            <b/>
            <sz val="9"/>
            <color indexed="81"/>
            <rFont val="Tahoma"/>
            <family val="2"/>
          </rPr>
          <t>= 2,0  • H</t>
        </r>
        <r>
          <rPr>
            <b/>
            <vertAlign val="subscript"/>
            <sz val="11"/>
            <color indexed="81"/>
            <rFont val="Tahoma"/>
            <family val="2"/>
          </rPr>
          <t xml:space="preserve">Fisch </t>
        </r>
        <r>
          <rPr>
            <b/>
            <sz val="11"/>
            <color indexed="81"/>
            <rFont val="Tahoma"/>
            <family val="2"/>
          </rPr>
          <t>/ s</t>
        </r>
        <r>
          <rPr>
            <b/>
            <vertAlign val="subscript"/>
            <sz val="11"/>
            <color indexed="81"/>
            <rFont val="Tahoma"/>
            <family val="2"/>
          </rPr>
          <t xml:space="preserve">g
</t>
        </r>
      </text>
    </comment>
    <comment ref="W39" authorId="0" shapeId="0" xr:uid="{00000000-0006-0000-0100-00001B000000}">
      <text>
        <r>
          <rPr>
            <b/>
            <sz val="9"/>
            <color indexed="81"/>
            <rFont val="Tahoma"/>
            <family val="2"/>
          </rPr>
          <t xml:space="preserve">heff,bem.= 2,5  • HFisch / sg
Bei Störsteinbauweisen gilt der hier erhaltene Wert als heff (Höhe oberhalb der Steinspitzen).
Hu,bem. Ist dementsprechend etwas höher zu wählen.
(um (ds/6), wobei sich ds auf die Steingröße des Sohldeckwerks, nicht auf die Störsteine bezieht)
</t>
        </r>
      </text>
    </comment>
    <comment ref="X39" authorId="0" shapeId="0" xr:uid="{00000000-0006-0000-0100-00001C000000}">
      <text>
        <r>
          <rPr>
            <b/>
            <sz val="9"/>
            <color indexed="81"/>
            <rFont val="Tahoma"/>
            <family val="2"/>
          </rPr>
          <t>Bmin = 6 • dFisch / Sg</t>
        </r>
        <r>
          <rPr>
            <sz val="9"/>
            <color indexed="81"/>
            <rFont val="Tahoma"/>
            <family val="2"/>
          </rPr>
          <t xml:space="preserve">
</t>
        </r>
      </text>
    </comment>
    <comment ref="Y39" authorId="0" shapeId="0" xr:uid="{00000000-0006-0000-0100-00001D000000}">
      <text>
        <r>
          <rPr>
            <b/>
            <sz val="9"/>
            <color indexed="81"/>
            <rFont val="Tahoma"/>
            <family val="2"/>
          </rPr>
          <t>Bmin = 9
 • dFisch / Sg</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0200-000001000000}">
      <text>
        <r>
          <rPr>
            <b/>
            <sz val="9"/>
            <color indexed="81"/>
            <rFont val="Tahoma"/>
            <family val="2"/>
          </rPr>
          <t>Bei versetzten Becken fordert das M509 Sv=0,8 bis 0,9 (S. 252).</t>
        </r>
        <r>
          <rPr>
            <sz val="9"/>
            <color indexed="81"/>
            <rFont val="Tahoma"/>
            <family val="2"/>
          </rPr>
          <t xml:space="preserve">
</t>
        </r>
      </text>
    </comment>
    <comment ref="E5" authorId="0" shapeId="0" xr:uid="{00000000-0006-0000-0200-000002000000}">
      <text>
        <r>
          <rPr>
            <b/>
            <sz val="8"/>
            <color indexed="81"/>
            <rFont val="Tahoma"/>
            <family val="2"/>
          </rPr>
          <t xml:space="preserve">Der Geometriewert (z.B. Beckenlänge)
 ist durch den Sicherheitsbeiwert zu dividieren. </t>
        </r>
        <r>
          <rPr>
            <sz val="8"/>
            <color indexed="81"/>
            <rFont val="Tahoma"/>
            <family val="2"/>
          </rPr>
          <t xml:space="preserve">
</t>
        </r>
      </text>
    </comment>
    <comment ref="AK14" authorId="0" shapeId="0" xr:uid="{00000000-0006-0000-0200-000003000000}">
      <text>
        <r>
          <rPr>
            <b/>
            <sz val="9"/>
            <color indexed="81"/>
            <rFont val="Tahoma"/>
            <family val="2"/>
          </rPr>
          <t>Ohne Einbauten, daher Sg=0,9 angesetzt !!!</t>
        </r>
        <r>
          <rPr>
            <sz val="9"/>
            <color indexed="81"/>
            <rFont val="Tahoma"/>
            <family val="2"/>
          </rPr>
          <t xml:space="preserve">
</t>
        </r>
      </text>
    </comment>
    <comment ref="L15" authorId="0" shapeId="0" xr:uid="{00000000-0006-0000-0200-000004000000}">
      <text>
        <r>
          <rPr>
            <b/>
            <sz val="9"/>
            <color indexed="81"/>
            <rFont val="Tahoma"/>
            <family val="2"/>
          </rPr>
          <t>Wenn sicher von geringeren Fischlängen (Gutachten oder Aussage OFB) auszugehen ist, können die Werte ggf. entsprechend reduziert werden. Dann Werte in dieser Spalte korrigieren.</t>
        </r>
        <r>
          <rPr>
            <sz val="9"/>
            <color indexed="81"/>
            <rFont val="Tahoma"/>
            <family val="2"/>
          </rPr>
          <t xml:space="preserve">
</t>
        </r>
      </text>
    </comment>
    <comment ref="Q15" authorId="0" shapeId="0" xr:uid="{00000000-0006-0000-0200-000005000000}">
      <text>
        <r>
          <rPr>
            <b/>
            <sz val="9"/>
            <color indexed="81"/>
            <rFont val="Tahoma"/>
            <family val="2"/>
          </rPr>
          <t>L</t>
        </r>
        <r>
          <rPr>
            <b/>
            <vertAlign val="subscript"/>
            <sz val="11"/>
            <color indexed="81"/>
            <rFont val="Tahoma"/>
            <family val="2"/>
          </rPr>
          <t>Becken, Bem.</t>
        </r>
        <r>
          <rPr>
            <b/>
            <sz val="9"/>
            <color indexed="81"/>
            <rFont val="Tahoma"/>
            <family val="2"/>
          </rPr>
          <t>= 3 • TL</t>
        </r>
        <r>
          <rPr>
            <b/>
            <vertAlign val="subscript"/>
            <sz val="11"/>
            <color indexed="81"/>
            <rFont val="Tahoma"/>
            <family val="2"/>
          </rPr>
          <t>Fisch</t>
        </r>
        <r>
          <rPr>
            <b/>
            <sz val="9"/>
            <color indexed="81"/>
            <rFont val="Tahoma"/>
            <family val="2"/>
          </rPr>
          <t xml:space="preserve"> / S</t>
        </r>
        <r>
          <rPr>
            <b/>
            <vertAlign val="subscript"/>
            <sz val="11"/>
            <color indexed="81"/>
            <rFont val="Tahoma"/>
            <family val="2"/>
          </rPr>
          <t>g</t>
        </r>
        <r>
          <rPr>
            <sz val="9"/>
            <color indexed="81"/>
            <rFont val="Tahoma"/>
            <family val="2"/>
          </rPr>
          <t xml:space="preserve">
</t>
        </r>
      </text>
    </comment>
    <comment ref="R15" authorId="0" shapeId="0" xr:uid="{00000000-0006-0000-0200-000006000000}">
      <text>
        <r>
          <rPr>
            <b/>
            <sz val="9"/>
            <color indexed="81"/>
            <rFont val="Tahoma"/>
            <family val="2"/>
          </rPr>
          <t>Bei Raugerinne-Beckenpass sollte laut DWA bs nicht unter 20 cm gewählt werden. Bei ungünstiger Schlitzanströmung mit Ablösungen werden deutlich größere Breiten erforderlich (siehe M509, Bild 121, S.121).
Ansonsten ggf. Leitwand wie bei Schlitzpässen anordnen.</t>
        </r>
        <r>
          <rPr>
            <sz val="9"/>
            <color indexed="81"/>
            <rFont val="Tahoma"/>
            <family val="2"/>
          </rPr>
          <t xml:space="preserve">
</t>
        </r>
      </text>
    </comment>
    <comment ref="S15" authorId="0" shapeId="0" xr:uid="{00000000-0006-0000-0200-000007000000}">
      <text>
        <r>
          <rPr>
            <b/>
            <sz val="9"/>
            <color indexed="81"/>
            <rFont val="Tahoma"/>
            <family val="2"/>
          </rPr>
          <t>H</t>
        </r>
        <r>
          <rPr>
            <b/>
            <vertAlign val="subscript"/>
            <sz val="11"/>
            <color indexed="81"/>
            <rFont val="Tahoma"/>
            <family val="2"/>
          </rPr>
          <t>eff,min</t>
        </r>
        <r>
          <rPr>
            <b/>
            <sz val="9"/>
            <color indexed="81"/>
            <rFont val="Tahoma"/>
            <family val="2"/>
          </rPr>
          <t>=2,5*H</t>
        </r>
        <r>
          <rPr>
            <b/>
            <vertAlign val="subscript"/>
            <sz val="11"/>
            <color indexed="81"/>
            <rFont val="Tahoma"/>
            <family val="2"/>
          </rPr>
          <t>fisch</t>
        </r>
        <r>
          <rPr>
            <b/>
            <sz val="11"/>
            <color indexed="81"/>
            <rFont val="Tahoma"/>
            <family val="2"/>
          </rPr>
          <t>/S</t>
        </r>
        <r>
          <rPr>
            <b/>
            <vertAlign val="subscript"/>
            <sz val="11"/>
            <color indexed="81"/>
            <rFont val="Tahoma"/>
            <family val="2"/>
          </rPr>
          <t>g</t>
        </r>
        <r>
          <rPr>
            <sz val="9"/>
            <color indexed="81"/>
            <rFont val="Tahoma"/>
            <family val="2"/>
          </rPr>
          <t xml:space="preserve">
im Wanderkorridor. In beckenartigen Bauweisen mit konstanter Sohlneigung jeweils im Unterwasser der Riegel bzw. Trennwände einzuhalten.
</t>
        </r>
      </text>
    </comment>
    <comment ref="T15" authorId="0" shapeId="0" xr:uid="{00000000-0006-0000-0200-000008000000}">
      <text>
        <r>
          <rPr>
            <b/>
            <sz val="9"/>
            <color indexed="81"/>
            <rFont val="Tahoma"/>
            <family val="2"/>
          </rPr>
          <t>H</t>
        </r>
        <r>
          <rPr>
            <b/>
            <vertAlign val="subscript"/>
            <sz val="11"/>
            <color indexed="81"/>
            <rFont val="Tahoma"/>
            <family val="2"/>
          </rPr>
          <t>D,min</t>
        </r>
        <r>
          <rPr>
            <b/>
            <sz val="9"/>
            <color indexed="81"/>
            <rFont val="Tahoma"/>
            <family val="2"/>
          </rPr>
          <t>=2,0 • H</t>
        </r>
        <r>
          <rPr>
            <b/>
            <vertAlign val="subscript"/>
            <sz val="11"/>
            <color indexed="81"/>
            <rFont val="Tahoma"/>
            <family val="2"/>
          </rPr>
          <t>Fisch</t>
        </r>
        <r>
          <rPr>
            <b/>
            <sz val="11"/>
            <color indexed="81"/>
            <rFont val="Tahoma"/>
            <family val="2"/>
          </rPr>
          <t>/S</t>
        </r>
        <r>
          <rPr>
            <b/>
            <vertAlign val="subscript"/>
            <sz val="11"/>
            <color indexed="81"/>
            <rFont val="Tahoma"/>
            <family val="2"/>
          </rPr>
          <t>g</t>
        </r>
        <r>
          <rPr>
            <sz val="9"/>
            <color indexed="81"/>
            <rFont val="Tahoma"/>
            <family val="2"/>
          </rPr>
          <t xml:space="preserve">
Heißt im M509: </t>
        </r>
        <r>
          <rPr>
            <b/>
            <sz val="9"/>
            <color indexed="81"/>
            <rFont val="Tahoma"/>
            <family val="2"/>
          </rPr>
          <t>h</t>
        </r>
        <r>
          <rPr>
            <b/>
            <vertAlign val="subscript"/>
            <sz val="11"/>
            <color indexed="81"/>
            <rFont val="Tahoma"/>
            <family val="2"/>
          </rPr>
          <t xml:space="preserve">D,min  </t>
        </r>
        <r>
          <rPr>
            <b/>
            <sz val="11"/>
            <color indexed="81"/>
            <rFont val="Tahoma"/>
            <family val="2"/>
          </rPr>
          <t xml:space="preserve"> </t>
        </r>
        <r>
          <rPr>
            <sz val="9"/>
            <color indexed="81"/>
            <rFont val="Tahoma"/>
            <family val="2"/>
          </rPr>
          <t xml:space="preserve">(siehe S.193)
</t>
        </r>
      </text>
    </comment>
    <comment ref="U15" authorId="0" shapeId="0" xr:uid="{00000000-0006-0000-0200-000009000000}">
      <text>
        <r>
          <rPr>
            <b/>
            <sz val="9"/>
            <color indexed="81"/>
            <rFont val="Tahoma"/>
            <family val="2"/>
          </rPr>
          <t>siehe M509, S.119</t>
        </r>
        <r>
          <rPr>
            <sz val="9"/>
            <color indexed="81"/>
            <rFont val="Tahoma"/>
            <family val="2"/>
          </rPr>
          <t xml:space="preserve">
</t>
        </r>
        <r>
          <rPr>
            <b/>
            <sz val="9"/>
            <color indexed="81"/>
            <rFont val="Tahoma"/>
            <family val="2"/>
          </rPr>
          <t>h</t>
        </r>
        <r>
          <rPr>
            <b/>
            <vertAlign val="subscript"/>
            <sz val="11"/>
            <color indexed="81"/>
            <rFont val="Tahoma"/>
            <family val="2"/>
          </rPr>
          <t>min</t>
        </r>
        <r>
          <rPr>
            <b/>
            <sz val="9"/>
            <color indexed="81"/>
            <rFont val="Tahoma"/>
            <family val="2"/>
          </rPr>
          <t>= 4 • h</t>
        </r>
        <r>
          <rPr>
            <b/>
            <vertAlign val="subscript"/>
            <sz val="11"/>
            <color indexed="81"/>
            <rFont val="Tahoma"/>
            <family val="2"/>
          </rPr>
          <t>Fisch</t>
        </r>
        <r>
          <rPr>
            <b/>
            <sz val="9"/>
            <color indexed="81"/>
            <rFont val="Tahoma"/>
            <family val="2"/>
          </rPr>
          <t xml:space="preserve"> / S</t>
        </r>
        <r>
          <rPr>
            <b/>
            <vertAlign val="subscript"/>
            <sz val="11"/>
            <color indexed="81"/>
            <rFont val="Tahoma"/>
            <family val="2"/>
          </rPr>
          <t xml:space="preserve">g
</t>
        </r>
        <r>
          <rPr>
            <b/>
            <sz val="9"/>
            <color indexed="81"/>
            <rFont val="Tahoma"/>
            <family val="2"/>
          </rPr>
          <t>Dieser Wert erscheint im M509 nicht im Kapitel zu Schlitzpässen, wird aber im allgemeinen Kapitel zu Wassertiefen gefordert (S. 119). Dort 4-5 • h</t>
        </r>
        <r>
          <rPr>
            <b/>
            <vertAlign val="subscript"/>
            <sz val="9"/>
            <color indexed="81"/>
            <rFont val="Tahoma"/>
            <family val="2"/>
          </rPr>
          <t>Fisch</t>
        </r>
        <r>
          <rPr>
            <b/>
            <sz val="9"/>
            <color indexed="81"/>
            <rFont val="Tahoma"/>
            <family val="2"/>
          </rPr>
          <t>.</t>
        </r>
        <r>
          <rPr>
            <b/>
            <vertAlign val="subscript"/>
            <sz val="11"/>
            <color indexed="81"/>
            <rFont val="Tahoma"/>
            <family val="2"/>
          </rPr>
          <t xml:space="preserve">
</t>
        </r>
        <r>
          <rPr>
            <b/>
            <sz val="9"/>
            <color indexed="81"/>
            <rFont val="Tahoma"/>
            <family val="2"/>
          </rPr>
          <t xml:space="preserve">In den Ergebnisfeldern wird der geringere Wert mit 4 • </t>
        </r>
        <r>
          <rPr>
            <b/>
            <sz val="11"/>
            <color indexed="81"/>
            <rFont val="Tahoma"/>
            <family val="2"/>
          </rPr>
          <t>h</t>
        </r>
        <r>
          <rPr>
            <b/>
            <vertAlign val="subscript"/>
            <sz val="11"/>
            <color indexed="81"/>
            <rFont val="Tahoma"/>
            <family val="2"/>
          </rPr>
          <t xml:space="preserve">Fisch </t>
        </r>
        <r>
          <rPr>
            <b/>
            <sz val="9"/>
            <color indexed="81"/>
            <rFont val="Tahoma"/>
            <family val="2"/>
          </rPr>
          <t xml:space="preserve">verwendet. Ansonsten wird jedoch empfohlen, nicht "auf Kante" an Grenzwerten entlang zu bemessen.
Bei Raugerinne-Beckenpässen ist aus hydraulischen Gründen eine Mindestwassertiefe von 40 cm einzuhalten (M509, S. 255).
</t>
        </r>
      </text>
    </comment>
    <comment ref="V15" authorId="0" shapeId="0" xr:uid="{00000000-0006-0000-0200-00000A000000}">
      <text>
        <r>
          <rPr>
            <b/>
            <sz val="9"/>
            <color indexed="81"/>
            <rFont val="Tahoma"/>
            <family val="2"/>
          </rPr>
          <t>B</t>
        </r>
        <r>
          <rPr>
            <b/>
            <vertAlign val="subscript"/>
            <sz val="11"/>
            <color indexed="81"/>
            <rFont val="Tahoma"/>
            <family val="2"/>
          </rPr>
          <t>min</t>
        </r>
        <r>
          <rPr>
            <b/>
            <sz val="9"/>
            <color indexed="81"/>
            <rFont val="Tahoma"/>
            <family val="2"/>
          </rPr>
          <t xml:space="preserve"> = 4,5 • B</t>
        </r>
        <r>
          <rPr>
            <b/>
            <vertAlign val="subscript"/>
            <sz val="11"/>
            <color indexed="81"/>
            <rFont val="Tahoma"/>
            <family val="2"/>
          </rPr>
          <t xml:space="preserve">Fisch </t>
        </r>
        <r>
          <rPr>
            <b/>
            <sz val="9"/>
            <color indexed="81"/>
            <rFont val="Tahoma"/>
            <family val="2"/>
          </rPr>
          <t>/ S</t>
        </r>
        <r>
          <rPr>
            <b/>
            <vertAlign val="subscript"/>
            <sz val="11"/>
            <color indexed="81"/>
            <rFont val="Tahoma"/>
            <family val="2"/>
          </rPr>
          <t>g</t>
        </r>
        <r>
          <rPr>
            <sz val="9"/>
            <color indexed="81"/>
            <rFont val="Tahoma"/>
            <family val="2"/>
          </rPr>
          <t xml:space="preserve">
</t>
        </r>
      </text>
    </comment>
    <comment ref="W15" authorId="0" shapeId="0" xr:uid="{00000000-0006-0000-0200-00000B000000}">
      <text>
        <r>
          <rPr>
            <b/>
            <sz val="9"/>
            <color indexed="81"/>
            <rFont val="Tahoma"/>
            <family val="2"/>
          </rPr>
          <t>Bmin = 6 • dFisch / Sg</t>
        </r>
        <r>
          <rPr>
            <sz val="9"/>
            <color indexed="81"/>
            <rFont val="Tahoma"/>
            <family val="2"/>
          </rPr>
          <t xml:space="preserve">
</t>
        </r>
      </text>
    </comment>
    <comment ref="X15" authorId="0" shapeId="0" xr:uid="{00000000-0006-0000-0200-00000C000000}">
      <text>
        <r>
          <rPr>
            <b/>
            <sz val="9"/>
            <color indexed="81"/>
            <rFont val="Tahoma"/>
            <family val="2"/>
          </rPr>
          <t>Bmin = 9
 • dFisch / Sg</t>
        </r>
        <r>
          <rPr>
            <sz val="9"/>
            <color indexed="81"/>
            <rFont val="Tahoma"/>
            <family val="2"/>
          </rPr>
          <t xml:space="preserve">
</t>
        </r>
      </text>
    </comment>
    <comment ref="AA15" authorId="0" shapeId="0" xr:uid="{00000000-0006-0000-0200-00000D000000}">
      <text>
        <r>
          <rPr>
            <b/>
            <sz val="9"/>
            <color indexed="81"/>
            <rFont val="Tahoma"/>
            <family val="2"/>
          </rPr>
          <t>Wenn sicher von geringeren Fischlängen (Gutachten oder Aussage OFB) auszugehen ist, können die Werte ggf. entsprechend reduziert werden. Dann Werte der Spalte in nächster Spalte korrigieren.</t>
        </r>
        <r>
          <rPr>
            <sz val="9"/>
            <color indexed="81"/>
            <rFont val="Tahoma"/>
            <family val="2"/>
          </rPr>
          <t xml:space="preserve">
</t>
        </r>
      </text>
    </comment>
    <comment ref="AB15" authorId="0" shapeId="0" xr:uid="{00000000-0006-0000-0200-00000E000000}">
      <text>
        <r>
          <rPr>
            <b/>
            <sz val="9"/>
            <color indexed="81"/>
            <rFont val="Tahoma"/>
            <family val="2"/>
          </rPr>
          <t>Wenn sicher von geringeren Fischlängen (Gutachten oder Aussage OFB) auszugehen ist, können die Werte ggf. entsprechend reduziert werden. Dann Werte in dieser Spalte korrigieren.</t>
        </r>
      </text>
    </comment>
    <comment ref="AE15" authorId="0" shapeId="0" xr:uid="{00000000-0006-0000-0200-00000F000000}">
      <text>
        <r>
          <rPr>
            <b/>
            <sz val="9"/>
            <color indexed="81"/>
            <rFont val="Tahoma"/>
            <family val="2"/>
          </rPr>
          <t>L</t>
        </r>
        <r>
          <rPr>
            <b/>
            <vertAlign val="subscript"/>
            <sz val="11"/>
            <color indexed="81"/>
            <rFont val="Tahoma"/>
            <family val="2"/>
          </rPr>
          <t>Becken, Bem.</t>
        </r>
        <r>
          <rPr>
            <b/>
            <sz val="9"/>
            <color indexed="81"/>
            <rFont val="Tahoma"/>
            <family val="2"/>
          </rPr>
          <t>= 3 • TL</t>
        </r>
        <r>
          <rPr>
            <b/>
            <vertAlign val="subscript"/>
            <sz val="11"/>
            <color indexed="81"/>
            <rFont val="Tahoma"/>
            <family val="2"/>
          </rPr>
          <t>Fisch</t>
        </r>
        <r>
          <rPr>
            <b/>
            <sz val="9"/>
            <color indexed="81"/>
            <rFont val="Tahoma"/>
            <family val="2"/>
          </rPr>
          <t xml:space="preserve"> / S</t>
        </r>
        <r>
          <rPr>
            <b/>
            <vertAlign val="subscript"/>
            <sz val="11"/>
            <color indexed="81"/>
            <rFont val="Tahoma"/>
            <family val="2"/>
          </rPr>
          <t>g</t>
        </r>
        <r>
          <rPr>
            <sz val="9"/>
            <color indexed="81"/>
            <rFont val="Tahoma"/>
            <family val="2"/>
          </rPr>
          <t xml:space="preserve">
</t>
        </r>
      </text>
    </comment>
    <comment ref="AF15" authorId="0" shapeId="0" xr:uid="{00000000-0006-0000-0200-000010000000}">
      <text>
        <r>
          <rPr>
            <b/>
            <sz val="9"/>
            <color indexed="81"/>
            <rFont val="Tahoma"/>
            <family val="2"/>
          </rPr>
          <t>Bei Raugerinne-Beckenpass sollte laut DWA bs nicht unter 20 cm gewählt werden. Bei ungünstiger Schlitzanströmung mit Ablösungen werden deutlich größere Breiten erforderlich (siehe M509, Bild 121, S.121).
Ansonsten ggf. Leitwand wie bei Schlitzpässen anordnen.</t>
        </r>
        <r>
          <rPr>
            <sz val="9"/>
            <color indexed="81"/>
            <rFont val="Tahoma"/>
            <family val="2"/>
          </rPr>
          <t xml:space="preserve">
</t>
        </r>
      </text>
    </comment>
    <comment ref="AG15" authorId="0" shapeId="0" xr:uid="{00000000-0006-0000-0200-000011000000}">
      <text>
        <r>
          <rPr>
            <b/>
            <sz val="9"/>
            <color indexed="81"/>
            <rFont val="Tahoma"/>
            <family val="2"/>
          </rPr>
          <t>H</t>
        </r>
        <r>
          <rPr>
            <b/>
            <vertAlign val="subscript"/>
            <sz val="11"/>
            <color indexed="81"/>
            <rFont val="Tahoma"/>
            <family val="2"/>
          </rPr>
          <t>eff,min</t>
        </r>
        <r>
          <rPr>
            <b/>
            <sz val="9"/>
            <color indexed="81"/>
            <rFont val="Tahoma"/>
            <family val="2"/>
          </rPr>
          <t>=2,5*H</t>
        </r>
        <r>
          <rPr>
            <b/>
            <vertAlign val="subscript"/>
            <sz val="11"/>
            <color indexed="81"/>
            <rFont val="Tahoma"/>
            <family val="2"/>
          </rPr>
          <t>fisch</t>
        </r>
        <r>
          <rPr>
            <b/>
            <sz val="11"/>
            <color indexed="81"/>
            <rFont val="Tahoma"/>
            <family val="2"/>
          </rPr>
          <t>/S</t>
        </r>
        <r>
          <rPr>
            <b/>
            <vertAlign val="subscript"/>
            <sz val="11"/>
            <color indexed="81"/>
            <rFont val="Tahoma"/>
            <family val="2"/>
          </rPr>
          <t>g</t>
        </r>
        <r>
          <rPr>
            <sz val="9"/>
            <color indexed="81"/>
            <rFont val="Tahoma"/>
            <family val="2"/>
          </rPr>
          <t xml:space="preserve">
im Wanderkorridor. In beckenartigen Bauweisen mit konstanter Sohlneigung jeweils im Unterwasser der Riegel bzw. Trennwände einzuhalten.
</t>
        </r>
      </text>
    </comment>
    <comment ref="AH15" authorId="0" shapeId="0" xr:uid="{00000000-0006-0000-0200-000012000000}">
      <text>
        <r>
          <rPr>
            <b/>
            <sz val="9"/>
            <color indexed="81"/>
            <rFont val="Tahoma"/>
            <family val="2"/>
          </rPr>
          <t>H</t>
        </r>
        <r>
          <rPr>
            <b/>
            <vertAlign val="subscript"/>
            <sz val="11"/>
            <color indexed="81"/>
            <rFont val="Tahoma"/>
            <family val="2"/>
          </rPr>
          <t>D,min</t>
        </r>
        <r>
          <rPr>
            <b/>
            <sz val="9"/>
            <color indexed="81"/>
            <rFont val="Tahoma"/>
            <family val="2"/>
          </rPr>
          <t>=2,0 • H</t>
        </r>
        <r>
          <rPr>
            <b/>
            <vertAlign val="subscript"/>
            <sz val="11"/>
            <color indexed="81"/>
            <rFont val="Tahoma"/>
            <family val="2"/>
          </rPr>
          <t>Fisch</t>
        </r>
        <r>
          <rPr>
            <b/>
            <sz val="11"/>
            <color indexed="81"/>
            <rFont val="Tahoma"/>
            <family val="2"/>
          </rPr>
          <t>/S</t>
        </r>
        <r>
          <rPr>
            <b/>
            <vertAlign val="subscript"/>
            <sz val="11"/>
            <color indexed="81"/>
            <rFont val="Tahoma"/>
            <family val="2"/>
          </rPr>
          <t>g</t>
        </r>
        <r>
          <rPr>
            <sz val="9"/>
            <color indexed="81"/>
            <rFont val="Tahoma"/>
            <family val="2"/>
          </rPr>
          <t xml:space="preserve">
Heißt im M509: </t>
        </r>
        <r>
          <rPr>
            <b/>
            <sz val="9"/>
            <color indexed="81"/>
            <rFont val="Tahoma"/>
            <family val="2"/>
          </rPr>
          <t>h</t>
        </r>
        <r>
          <rPr>
            <b/>
            <vertAlign val="subscript"/>
            <sz val="11"/>
            <color indexed="81"/>
            <rFont val="Tahoma"/>
            <family val="2"/>
          </rPr>
          <t xml:space="preserve">D,min  </t>
        </r>
        <r>
          <rPr>
            <b/>
            <sz val="11"/>
            <color indexed="81"/>
            <rFont val="Tahoma"/>
            <family val="2"/>
          </rPr>
          <t xml:space="preserve"> </t>
        </r>
        <r>
          <rPr>
            <sz val="9"/>
            <color indexed="81"/>
            <rFont val="Tahoma"/>
            <family val="2"/>
          </rPr>
          <t xml:space="preserve">(siehe S.193)
</t>
        </r>
      </text>
    </comment>
    <comment ref="AI15" authorId="0" shapeId="0" xr:uid="{00000000-0006-0000-0200-000013000000}">
      <text>
        <r>
          <rPr>
            <b/>
            <sz val="9"/>
            <color indexed="81"/>
            <rFont val="Tahoma"/>
            <family val="2"/>
          </rPr>
          <t>siehe M509, S.119</t>
        </r>
        <r>
          <rPr>
            <sz val="9"/>
            <color indexed="81"/>
            <rFont val="Tahoma"/>
            <family val="2"/>
          </rPr>
          <t xml:space="preserve">
</t>
        </r>
        <r>
          <rPr>
            <b/>
            <sz val="9"/>
            <color indexed="81"/>
            <rFont val="Tahoma"/>
            <family val="2"/>
          </rPr>
          <t>h</t>
        </r>
        <r>
          <rPr>
            <b/>
            <vertAlign val="subscript"/>
            <sz val="11"/>
            <color indexed="81"/>
            <rFont val="Tahoma"/>
            <family val="2"/>
          </rPr>
          <t>min</t>
        </r>
        <r>
          <rPr>
            <b/>
            <sz val="9"/>
            <color indexed="81"/>
            <rFont val="Tahoma"/>
            <family val="2"/>
          </rPr>
          <t>= 4 • h</t>
        </r>
        <r>
          <rPr>
            <b/>
            <vertAlign val="subscript"/>
            <sz val="11"/>
            <color indexed="81"/>
            <rFont val="Tahoma"/>
            <family val="2"/>
          </rPr>
          <t>Fisch</t>
        </r>
        <r>
          <rPr>
            <b/>
            <sz val="9"/>
            <color indexed="81"/>
            <rFont val="Tahoma"/>
            <family val="2"/>
          </rPr>
          <t xml:space="preserve"> / S</t>
        </r>
        <r>
          <rPr>
            <b/>
            <vertAlign val="subscript"/>
            <sz val="11"/>
            <color indexed="81"/>
            <rFont val="Tahoma"/>
            <family val="2"/>
          </rPr>
          <t xml:space="preserve">g
</t>
        </r>
        <r>
          <rPr>
            <b/>
            <sz val="9"/>
            <color indexed="81"/>
            <rFont val="Tahoma"/>
            <family val="2"/>
          </rPr>
          <t>Dieser Wert erscheint im M509 nicht im Kapitel zu Schlitzpässen, wird aber im allgemeinen Kapitel zu Wassertiefen gefordert (S. 119). Dort 4-5 • h</t>
        </r>
        <r>
          <rPr>
            <b/>
            <vertAlign val="subscript"/>
            <sz val="9"/>
            <color indexed="81"/>
            <rFont val="Tahoma"/>
            <family val="2"/>
          </rPr>
          <t>Fisch</t>
        </r>
        <r>
          <rPr>
            <b/>
            <sz val="9"/>
            <color indexed="81"/>
            <rFont val="Tahoma"/>
            <family val="2"/>
          </rPr>
          <t>.</t>
        </r>
        <r>
          <rPr>
            <b/>
            <vertAlign val="subscript"/>
            <sz val="11"/>
            <color indexed="81"/>
            <rFont val="Tahoma"/>
            <family val="2"/>
          </rPr>
          <t xml:space="preserve">
</t>
        </r>
        <r>
          <rPr>
            <b/>
            <sz val="9"/>
            <color indexed="81"/>
            <rFont val="Tahoma"/>
            <family val="2"/>
          </rPr>
          <t xml:space="preserve">In den Ergebnisfeldern wird der geringere Wert mit 4 • </t>
        </r>
        <r>
          <rPr>
            <b/>
            <sz val="11"/>
            <color indexed="81"/>
            <rFont val="Tahoma"/>
            <family val="2"/>
          </rPr>
          <t>h</t>
        </r>
        <r>
          <rPr>
            <b/>
            <vertAlign val="subscript"/>
            <sz val="11"/>
            <color indexed="81"/>
            <rFont val="Tahoma"/>
            <family val="2"/>
          </rPr>
          <t xml:space="preserve">Fisch </t>
        </r>
        <r>
          <rPr>
            <b/>
            <sz val="9"/>
            <color indexed="81"/>
            <rFont val="Tahoma"/>
            <family val="2"/>
          </rPr>
          <t xml:space="preserve">verwendet. Ansonsten wird jedoch empfohlen, nicht "auf Kante" an Grenzwerten entlang zu bemessen.
Bei Raugerinne-Beckenpässen ist aus hydraulischen Gründen eine Mindestwassertiefe von 40 cm einzuhalten (M509, S. 255).
</t>
        </r>
      </text>
    </comment>
    <comment ref="AJ15" authorId="0" shapeId="0" xr:uid="{00000000-0006-0000-0200-000014000000}">
      <text>
        <r>
          <rPr>
            <b/>
            <sz val="9"/>
            <color indexed="81"/>
            <rFont val="Tahoma"/>
            <family val="2"/>
          </rPr>
          <t>B</t>
        </r>
        <r>
          <rPr>
            <b/>
            <vertAlign val="subscript"/>
            <sz val="11"/>
            <color indexed="81"/>
            <rFont val="Tahoma"/>
            <family val="2"/>
          </rPr>
          <t>min</t>
        </r>
        <r>
          <rPr>
            <b/>
            <sz val="9"/>
            <color indexed="81"/>
            <rFont val="Tahoma"/>
            <family val="2"/>
          </rPr>
          <t xml:space="preserve"> = 4,5 • B</t>
        </r>
        <r>
          <rPr>
            <b/>
            <vertAlign val="subscript"/>
            <sz val="11"/>
            <color indexed="81"/>
            <rFont val="Tahoma"/>
            <family val="2"/>
          </rPr>
          <t xml:space="preserve">Fisch </t>
        </r>
        <r>
          <rPr>
            <b/>
            <sz val="9"/>
            <color indexed="81"/>
            <rFont val="Tahoma"/>
            <family val="2"/>
          </rPr>
          <t>/ S</t>
        </r>
        <r>
          <rPr>
            <b/>
            <vertAlign val="subscript"/>
            <sz val="11"/>
            <color indexed="81"/>
            <rFont val="Tahoma"/>
            <family val="2"/>
          </rPr>
          <t>g</t>
        </r>
        <r>
          <rPr>
            <sz val="9"/>
            <color indexed="81"/>
            <rFont val="Tahoma"/>
            <family val="2"/>
          </rPr>
          <t xml:space="preserve">
</t>
        </r>
      </text>
    </comment>
    <comment ref="AK15" authorId="0" shapeId="0" xr:uid="{00000000-0006-0000-0200-000015000000}">
      <text>
        <r>
          <rPr>
            <b/>
            <sz val="9"/>
            <color indexed="81"/>
            <rFont val="Tahoma"/>
            <family val="2"/>
          </rPr>
          <t>Bmin = 6 • dFisch / Sg</t>
        </r>
        <r>
          <rPr>
            <sz val="9"/>
            <color indexed="81"/>
            <rFont val="Tahoma"/>
            <family val="2"/>
          </rPr>
          <t xml:space="preserve">
</t>
        </r>
      </text>
    </comment>
    <comment ref="AL15" authorId="0" shapeId="0" xr:uid="{00000000-0006-0000-0200-000016000000}">
      <text>
        <r>
          <rPr>
            <b/>
            <sz val="9"/>
            <color indexed="81"/>
            <rFont val="Tahoma"/>
            <family val="2"/>
          </rPr>
          <t>Bmin = 9
 • dFisch / Sg</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400-000001000000}">
      <text>
        <r>
          <rPr>
            <b/>
            <sz val="9"/>
            <color indexed="81"/>
            <rFont val="Tahoma"/>
            <family val="2"/>
          </rPr>
          <t>Länge incl. aller Trennwände eingeben</t>
        </r>
        <r>
          <rPr>
            <sz val="9"/>
            <color indexed="81"/>
            <rFont val="Tahoma"/>
            <family val="2"/>
          </rPr>
          <t xml:space="preserve">
</t>
        </r>
      </text>
    </comment>
    <comment ref="Z9" authorId="0" shapeId="0" xr:uid="{00000000-0006-0000-0400-000002000000}">
      <text>
        <r>
          <rPr>
            <b/>
            <sz val="9"/>
            <color indexed="81"/>
            <rFont val="Tahoma"/>
            <family val="2"/>
          </rPr>
          <t xml:space="preserve">Der Wert </t>
        </r>
        <r>
          <rPr>
            <b/>
            <sz val="9"/>
            <color indexed="81"/>
            <rFont val="Symbol"/>
            <family val="1"/>
            <charset val="2"/>
          </rPr>
          <t>m</t>
        </r>
        <r>
          <rPr>
            <b/>
            <sz val="9"/>
            <color indexed="81"/>
            <rFont val="Tahoma"/>
            <family val="2"/>
          </rPr>
          <t>=0,55 wurde in Spalte für Qges ohne Änderungsoption einprogrammiert.</t>
        </r>
        <r>
          <rPr>
            <sz val="9"/>
            <color indexed="81"/>
            <rFont val="Tahoma"/>
            <family val="2"/>
          </rPr>
          <t xml:space="preserve">
Bei Vorhandensein einer Schlitzschwelle (Feld F17 &gt; 0), wird für diese Breite der Wert "</t>
        </r>
        <r>
          <rPr>
            <b/>
            <sz val="9"/>
            <color indexed="81"/>
            <rFont val="Symbol"/>
            <family val="1"/>
            <charset val="2"/>
          </rPr>
          <t>m</t>
        </r>
        <r>
          <rPr>
            <sz val="9"/>
            <color indexed="81"/>
            <rFont val="Tahoma"/>
            <family val="2"/>
          </rPr>
          <t xml:space="preserve"> Schlitzschwelle" (Spalte I) verwendet. </t>
        </r>
      </text>
    </comment>
    <comment ref="F10" authorId="0" shapeId="0" xr:uid="{00000000-0006-0000-0400-000003000000}">
      <text>
        <r>
          <rPr>
            <b/>
            <sz val="9"/>
            <color indexed="81"/>
            <rFont val="Tahoma"/>
            <family val="2"/>
          </rPr>
          <t>Sohllage direkt oberhalb der obersten Trennwand</t>
        </r>
        <r>
          <rPr>
            <sz val="9"/>
            <color indexed="81"/>
            <rFont val="Tahoma"/>
            <family val="2"/>
          </rPr>
          <t xml:space="preserve">
</t>
        </r>
      </text>
    </comment>
    <comment ref="F11" authorId="0" shapeId="0" xr:uid="{00000000-0006-0000-0400-000004000000}">
      <text>
        <r>
          <rPr>
            <b/>
            <sz val="9"/>
            <color indexed="81"/>
            <rFont val="Tahoma"/>
            <family val="2"/>
          </rPr>
          <t>Sohllage direkt unterhalb der untersten Trennwand</t>
        </r>
        <r>
          <rPr>
            <sz val="9"/>
            <color indexed="81"/>
            <rFont val="Tahoma"/>
            <family val="2"/>
          </rPr>
          <t xml:space="preserve">
</t>
        </r>
      </text>
    </comment>
    <comment ref="F16" authorId="0" shapeId="0" xr:uid="{00000000-0006-0000-0400-000005000000}">
      <text>
        <r>
          <rPr>
            <b/>
            <sz val="9"/>
            <color indexed="81"/>
            <rFont val="Tahoma"/>
            <family val="2"/>
          </rPr>
          <t xml:space="preserve">Wenn keine Schwelle im Schlitz vorhanden ist, sollte die Breite der Schwelle auf "0" gesetzt werden, sonst rechnet die Tabelle für die eingegebene Breite mit dem </t>
        </r>
        <r>
          <rPr>
            <b/>
            <sz val="9"/>
            <color indexed="81"/>
            <rFont val="Symbol"/>
            <family val="1"/>
            <charset val="2"/>
          </rPr>
          <t>m</t>
        </r>
        <r>
          <rPr>
            <b/>
            <sz val="9"/>
            <color indexed="81"/>
            <rFont val="Tahoma"/>
            <family val="2"/>
          </rPr>
          <t xml:space="preserve">-Wert für die Schlitzschwelle (Spalte "I") statt mit dem Wert 0,55 (Vorgabe M509).
</t>
        </r>
        <r>
          <rPr>
            <sz val="9"/>
            <color indexed="81"/>
            <rFont val="Tahoma"/>
            <family val="2"/>
          </rPr>
          <t xml:space="preserve">
</t>
        </r>
      </text>
    </comment>
    <comment ref="N16" authorId="0" shapeId="0" xr:uid="{00000000-0006-0000-0400-000006000000}">
      <text>
        <r>
          <rPr>
            <b/>
            <sz val="9"/>
            <color indexed="81"/>
            <rFont val="Tahoma"/>
            <family val="2"/>
          </rPr>
          <t>DWA M509: "Die obigen Gleichungen setzen voraus, dass die hydraulische Energie in den Becken nahezu vollständig umgewandelt wird und sich keine Schussstrahlen von Durchflussöffnung zu Durchflussöffnung ausbilden. Um dies abzusichern, müssen die Durchlassöffnungen deutlich gegeneinander um ys versetzt und alternierend angeordnet werden. Weiterhin müssen entsprechende Beckenbreiten und -längen eingehalten werden."
Ergibt sich dann eine ungünstige Schlitzan- und -durchströmung kann bei Riegelbauweise ein zu umströmender Naturstein die Funktion einer Leitwand , wie sie bei Schlitzpässen eingebaut wird, übernehmen.</t>
        </r>
      </text>
    </comment>
    <comment ref="F17" authorId="0" shapeId="0" xr:uid="{00000000-0006-0000-0400-000007000000}">
      <text>
        <r>
          <rPr>
            <b/>
            <sz val="9"/>
            <color indexed="81"/>
            <rFont val="Tahoma"/>
            <family val="2"/>
          </rPr>
          <t xml:space="preserve">Wenn keine Schwelle im Schlitz vorhanden ist, sollte die Breite der Schwelle auf "0" gesetzt werden, sonst rechnet die Tabelle für die eingegebene Breite mit dem </t>
        </r>
        <r>
          <rPr>
            <b/>
            <sz val="9"/>
            <color indexed="81"/>
            <rFont val="Symbol"/>
            <family val="1"/>
            <charset val="2"/>
          </rPr>
          <t>m</t>
        </r>
        <r>
          <rPr>
            <b/>
            <sz val="9"/>
            <color indexed="81"/>
            <rFont val="Tahoma"/>
            <family val="2"/>
          </rPr>
          <t>-Wert für die Schlitzschwelle (Spalte "I") statt mit dem Wert 0,55 (Vorgabe M509).</t>
        </r>
        <r>
          <rPr>
            <sz val="9"/>
            <color indexed="81"/>
            <rFont val="Tahoma"/>
            <family val="2"/>
          </rPr>
          <t xml:space="preserve">
</t>
        </r>
      </text>
    </comment>
    <comment ref="N17" authorId="0" shapeId="0" xr:uid="{00000000-0006-0000-0400-000008000000}">
      <text>
        <r>
          <rPr>
            <b/>
            <sz val="9"/>
            <color indexed="81"/>
            <rFont val="Tahoma"/>
            <family val="2"/>
          </rPr>
          <t>DWA M509: "Die obigen Gleichungen setzen voraus, dass die hydraulische Energie in den Becken nahezu vollständig umgewandelt wird und sich keine Schussstrahlen von Durchflussöffnung zu Durchflussöffnung ausbilden. Um dies abzusichern, müssen die Durchlassöffnungen deutlich gegeneinander um ys versetzt und alternierend angeordnet werden. Weiterhin müssen entsprechende Beckenbreiten und -längen eingehalten werden."</t>
        </r>
      </text>
    </comment>
    <comment ref="F18" authorId="0" shapeId="0" xr:uid="{00000000-0006-0000-0400-000009000000}">
      <text>
        <r>
          <rPr>
            <b/>
            <sz val="8"/>
            <color indexed="81"/>
            <rFont val="Tahoma"/>
            <family val="2"/>
          </rPr>
          <t>hier ist die mittlere Riegeldicke anzugeben</t>
        </r>
        <r>
          <rPr>
            <sz val="8"/>
            <color indexed="81"/>
            <rFont val="Tahoma"/>
            <family val="2"/>
          </rPr>
          <t xml:space="preserve">
</t>
        </r>
      </text>
    </comment>
    <comment ref="N18" authorId="0" shapeId="0" xr:uid="{00000000-0006-0000-0400-00000A000000}">
      <text>
        <r>
          <rPr>
            <b/>
            <sz val="9"/>
            <color indexed="81"/>
            <rFont val="Tahoma"/>
            <family val="2"/>
          </rPr>
          <t>Für die Ermittlung ist die Berechnung bei Q330 relevant. Wert gilt nur bei  P</t>
        </r>
        <r>
          <rPr>
            <b/>
            <vertAlign val="subscript"/>
            <sz val="9"/>
            <color indexed="81"/>
            <rFont val="Tahoma"/>
            <family val="2"/>
          </rPr>
          <t>D</t>
        </r>
        <r>
          <rPr>
            <b/>
            <sz val="9"/>
            <color indexed="81"/>
            <rFont val="Tahoma"/>
            <family val="2"/>
          </rPr>
          <t>&gt;150 W/m</t>
        </r>
        <r>
          <rPr>
            <b/>
            <vertAlign val="superscript"/>
            <sz val="11"/>
            <color indexed="81"/>
            <rFont val="Tahoma"/>
            <family val="2"/>
          </rPr>
          <t>3</t>
        </r>
        <r>
          <rPr>
            <b/>
            <sz val="9"/>
            <color indexed="81"/>
            <rFont val="Tahoma"/>
            <family val="2"/>
          </rPr>
          <t>. Ansonsten ist die längenbestimmende Bemessungs-fischart oder die max. zul. P</t>
        </r>
        <r>
          <rPr>
            <b/>
            <vertAlign val="subscript"/>
            <sz val="11"/>
            <color indexed="81"/>
            <rFont val="Tahoma"/>
            <family val="2"/>
          </rPr>
          <t>D</t>
        </r>
        <r>
          <rPr>
            <b/>
            <sz val="9"/>
            <color indexed="81"/>
            <rFont val="Tahoma"/>
            <family val="2"/>
          </rPr>
          <t xml:space="preserve"> ausschlaggebend für die Mindestbeckenlänge.</t>
        </r>
        <r>
          <rPr>
            <sz val="9"/>
            <color indexed="81"/>
            <rFont val="Tahoma"/>
            <family val="2"/>
          </rPr>
          <t xml:space="preserve">
(M509, S.188)</t>
        </r>
      </text>
    </comment>
    <comment ref="F21" authorId="0" shapeId="0" xr:uid="{00000000-0006-0000-0400-00000B000000}">
      <text>
        <r>
          <rPr>
            <b/>
            <sz val="8"/>
            <color indexed="81"/>
            <rFont val="Tahoma"/>
            <family val="2"/>
          </rPr>
          <t>die hier eingegebene Böschungsneigung wird auf der gesamten Länge der Anlage an beiden Böschungen eingerechnet</t>
        </r>
      </text>
    </comment>
    <comment ref="L21" authorId="0" shapeId="0" xr:uid="{00000000-0006-0000-0400-00000C000000}">
      <text>
        <r>
          <rPr>
            <b/>
            <sz val="9"/>
            <color indexed="81"/>
            <rFont val="Tahoma"/>
            <family val="2"/>
          </rPr>
          <t>Soweit Erosionssicherheit nicht anderweitig gegeben (z.B. starke Überstauung bei HQ)</t>
        </r>
        <r>
          <rPr>
            <sz val="9"/>
            <color indexed="81"/>
            <rFont val="Tahoma"/>
            <family val="2"/>
          </rPr>
          <t xml:space="preserve">
</t>
        </r>
      </text>
    </comment>
    <comment ref="L22" authorId="0" shapeId="0" xr:uid="{00000000-0006-0000-0400-00000D000000}">
      <text>
        <r>
          <rPr>
            <b/>
            <sz val="9"/>
            <color indexed="81"/>
            <rFont val="Tahoma"/>
            <family val="2"/>
          </rPr>
          <t>Soweit Erosionssicherheit nicht anderweitig gegeben (z.B. starke Überstauung bei HQ)</t>
        </r>
        <r>
          <rPr>
            <sz val="9"/>
            <color indexed="81"/>
            <rFont val="Tahoma"/>
            <family val="2"/>
          </rPr>
          <t xml:space="preserve">
</t>
        </r>
      </text>
    </comment>
    <comment ref="A25" authorId="0" shapeId="0" xr:uid="{00000000-0006-0000-0400-00000E000000}">
      <text>
        <r>
          <rPr>
            <b/>
            <sz val="8"/>
            <color indexed="81"/>
            <rFont val="Tahoma"/>
            <family val="2"/>
          </rPr>
          <t>Riegel Nr. 1 ist der unterste Riegel</t>
        </r>
        <r>
          <rPr>
            <sz val="8"/>
            <color indexed="81"/>
            <rFont val="Tahoma"/>
            <family val="2"/>
          </rPr>
          <t xml:space="preserve">
</t>
        </r>
      </text>
    </comment>
    <comment ref="B25" authorId="0" shapeId="0" xr:uid="{00000000-0006-0000-0400-00000F000000}">
      <text>
        <r>
          <rPr>
            <b/>
            <sz val="8"/>
            <color indexed="81"/>
            <rFont val="Tahoma"/>
            <family val="2"/>
          </rPr>
          <t>Als Station wird vom Unterwasser aus betrachtet die Vorderkante der Riegel angegeben.</t>
        </r>
        <r>
          <rPr>
            <sz val="8"/>
            <color indexed="81"/>
            <rFont val="Tahoma"/>
            <family val="2"/>
          </rPr>
          <t xml:space="preserve">
</t>
        </r>
      </text>
    </comment>
    <comment ref="C25" authorId="0" shapeId="0" xr:uid="{00000000-0006-0000-0400-000010000000}">
      <text>
        <r>
          <rPr>
            <b/>
            <sz val="8"/>
            <color indexed="81"/>
            <rFont val="Tahoma"/>
            <family val="2"/>
          </rPr>
          <t>Hier wird die Sohlhöhe an der Oberwasserseite des Riegels angegeben.</t>
        </r>
        <r>
          <rPr>
            <sz val="8"/>
            <color indexed="81"/>
            <rFont val="Tahoma"/>
            <family val="2"/>
          </rPr>
          <t xml:space="preserve">
</t>
        </r>
      </text>
    </comment>
    <comment ref="D25" authorId="0" shapeId="0" xr:uid="{00000000-0006-0000-0400-000011000000}">
      <text>
        <r>
          <rPr>
            <b/>
            <sz val="8"/>
            <color indexed="81"/>
            <rFont val="Tahoma"/>
            <family val="2"/>
          </rPr>
          <t>Hier wird die Sohlhöhe an der Unterwasserseite des Riegels angegeben.</t>
        </r>
        <r>
          <rPr>
            <sz val="8"/>
            <color indexed="81"/>
            <rFont val="Tahoma"/>
            <family val="2"/>
          </rPr>
          <t xml:space="preserve">
</t>
        </r>
        <r>
          <rPr>
            <sz val="8"/>
            <color indexed="81"/>
            <rFont val="Tahoma"/>
            <family val="2"/>
          </rPr>
          <t xml:space="preserve">
</t>
        </r>
      </text>
    </comment>
    <comment ref="E25" authorId="0" shapeId="0" xr:uid="{00000000-0006-0000-0400-000012000000}">
      <text>
        <r>
          <rPr>
            <b/>
            <sz val="8"/>
            <color indexed="81"/>
            <rFont val="Tahoma"/>
            <family val="2"/>
          </rPr>
          <t>Höhenlage der Oberkante des Riegels</t>
        </r>
        <r>
          <rPr>
            <sz val="8"/>
            <color indexed="81"/>
            <rFont val="Tahoma"/>
            <family val="2"/>
          </rPr>
          <t xml:space="preserve">
</t>
        </r>
      </text>
    </comment>
    <comment ref="F25" authorId="0" shapeId="0" xr:uid="{00000000-0006-0000-0400-000013000000}">
      <text>
        <r>
          <rPr>
            <b/>
            <sz val="8"/>
            <color indexed="81"/>
            <rFont val="Tahoma"/>
            <family val="2"/>
          </rPr>
          <t xml:space="preserve">Der Überfallbeiwert </t>
        </r>
        <r>
          <rPr>
            <b/>
            <sz val="8"/>
            <color indexed="81"/>
            <rFont val="Symbol"/>
            <family val="1"/>
            <charset val="2"/>
          </rPr>
          <t>m</t>
        </r>
        <r>
          <rPr>
            <b/>
            <sz val="8"/>
            <color indexed="81"/>
            <rFont val="Tahoma"/>
            <family val="2"/>
          </rPr>
          <t xml:space="preserve"> ist von der Form (breit und rechtwinklig-&gt; ca. 0,5; gebrochene Kanten bis rund-&gt; 0,6-0,8) der Riegelkrone abhängig.</t>
        </r>
        <r>
          <rPr>
            <sz val="8"/>
            <color indexed="81"/>
            <rFont val="Tahoma"/>
            <family val="2"/>
          </rPr>
          <t xml:space="preserve">
</t>
        </r>
      </text>
    </comment>
    <comment ref="G25" authorId="0" shapeId="0" xr:uid="{00000000-0006-0000-0400-000014000000}">
      <text>
        <r>
          <rPr>
            <b/>
            <sz val="8"/>
            <color indexed="81"/>
            <rFont val="Tahoma"/>
            <family val="2"/>
          </rPr>
          <t>Hier ist die Summe der Riegelbreite einzugeben. Dabei wird der Schlitz nicht mitgerechnet.  Es kann sinnvoll sein, die Riegel in den Bereichen, die die hier eingetragene Breite überschreiten, höher zu ziehen.  
Dadurch kann die Wassertiefe bei höheren Abflüssen (z.B. Q330) erhöht werden.</t>
        </r>
      </text>
    </comment>
    <comment ref="H25" authorId="0" shapeId="0" xr:uid="{00000000-0006-0000-0400-000015000000}">
      <text>
        <r>
          <rPr>
            <b/>
            <sz val="8"/>
            <color indexed="81"/>
            <rFont val="Tahoma"/>
            <family val="2"/>
          </rPr>
          <t>Höhenlage der Oberkante der Schlitzschwelle. Wenn keine Schwelle im Schlitz vorhanden, dann = Sohlhöhe.</t>
        </r>
        <r>
          <rPr>
            <sz val="8"/>
            <color indexed="81"/>
            <rFont val="Tahoma"/>
            <family val="2"/>
          </rPr>
          <t xml:space="preserve">
</t>
        </r>
      </text>
    </comment>
    <comment ref="I25" authorId="0" shapeId="0" xr:uid="{00000000-0006-0000-0400-000016000000}">
      <text>
        <r>
          <rPr>
            <b/>
            <sz val="10"/>
            <color indexed="81"/>
            <rFont val="Tahoma"/>
            <family val="2"/>
          </rPr>
          <t>Überfallbeiwert der Schlitzschwelle. Es gelten die gleichen  Werte, wie beim Überfallbeiwert der Riegel-krone. Der "Überfall-"beiwert für den Schlitz ohne Schwelle beträgt immer 0,55. Dieser Wert ist in Qges fest eingearbeitet und nicht variierbar.</t>
        </r>
      </text>
    </comment>
    <comment ref="J25" authorId="0" shapeId="0" xr:uid="{00000000-0006-0000-0400-000017000000}">
      <text>
        <r>
          <rPr>
            <b/>
            <sz val="8"/>
            <color indexed="81"/>
            <rFont val="Tahoma"/>
            <family val="2"/>
          </rPr>
          <t>Wasserspiegelniveau oberhalb des Riegels</t>
        </r>
      </text>
    </comment>
    <comment ref="K25" authorId="0" shapeId="0" xr:uid="{00000000-0006-0000-0400-000018000000}">
      <text>
        <r>
          <rPr>
            <b/>
            <sz val="8"/>
            <color indexed="81"/>
            <rFont val="Tahoma"/>
            <family val="2"/>
          </rPr>
          <t>Wasserspiegelniveau unterhalb des Riegels</t>
        </r>
      </text>
    </comment>
    <comment ref="L25" authorId="0" shapeId="0" xr:uid="{00000000-0006-0000-0400-000019000000}">
      <text>
        <r>
          <rPr>
            <b/>
            <sz val="10"/>
            <color indexed="81"/>
            <rFont val="Tahoma"/>
            <family val="2"/>
          </rPr>
          <t>Differenz zwischen WSP OW und OK der Schlitzschwelle bzw. Sohlhöhe oberhalb des Riegels bei Anlagen ohne Schlitzschwelle.</t>
        </r>
        <r>
          <rPr>
            <sz val="10"/>
            <color indexed="81"/>
            <rFont val="Tahoma"/>
            <family val="2"/>
          </rPr>
          <t xml:space="preserve">
</t>
        </r>
        <r>
          <rPr>
            <b/>
            <sz val="10"/>
            <color indexed="81"/>
            <rFont val="Tahoma"/>
            <family val="2"/>
          </rPr>
          <t>Wenn bei geringen Gewässerabflüssen in den Schlitzen Schwellen angeordnet werden sollen.
Dies ist ungünstig für die Passage des Makrozoobenthos und für manche Kleinfischarten (z.B. Vordermeier 1998).
Die Schwelle soll immer rau bzw. zerklüftet und möglichst kurz sein.</t>
        </r>
      </text>
    </comment>
    <comment ref="M25" authorId="0" shapeId="0" xr:uid="{00000000-0006-0000-0400-00001A000000}">
      <text>
        <r>
          <rPr>
            <b/>
            <sz val="8"/>
            <color indexed="81"/>
            <rFont val="Tahoma"/>
            <family val="2"/>
          </rPr>
          <t xml:space="preserve">Differenz zwischen WSP UW und OK der Schlitzschwelle.
Dieser Wert entspricht hD,min in M509 (siehe Weißdruck S.190).
Relevant, wenn bei geringen Gewässerabflüssen in den Schlitzen Schwellen angeordnet werden sollen.
Dies ist ungünstig für die Passage des Makrozoobenthos und für Jung- und Kleinfischarten (z.B. Vordermeier 1998).
Die Schwelle soll immer rau bzw. zerklüftet und möglichst kurz sein.
</t>
        </r>
        <r>
          <rPr>
            <sz val="8"/>
            <color indexed="81"/>
            <rFont val="Tahoma"/>
            <family val="2"/>
          </rPr>
          <t xml:space="preserve">
</t>
        </r>
      </text>
    </comment>
    <comment ref="N25" authorId="0" shapeId="0" xr:uid="{00000000-0006-0000-0400-00001B000000}">
      <text>
        <r>
          <rPr>
            <b/>
            <sz val="9"/>
            <color indexed="81"/>
            <rFont val="Tahoma"/>
            <family val="2"/>
          </rPr>
          <t xml:space="preserve">Effektiv nutzbare Wassertiefe. Für die Fische nutzbare Wassertiefe oberhalb der Rauheitshöhe.
!! In Raugerinnen mit Becken durch Sg=0,8 mit abgedeckt !! Da gilt nur hu !!
•Raugerinne: heff </t>
        </r>
        <r>
          <rPr>
            <b/>
            <sz val="9"/>
            <color indexed="81"/>
            <rFont val="Calibri"/>
            <family val="2"/>
          </rPr>
          <t>≥</t>
        </r>
        <r>
          <rPr>
            <b/>
            <sz val="9"/>
            <color indexed="81"/>
            <rFont val="Tahoma"/>
            <family val="2"/>
          </rPr>
          <t xml:space="preserve"> 2,5</t>
        </r>
        <r>
          <rPr>
            <b/>
            <sz val="9"/>
            <color indexed="81"/>
            <rFont val="Calibri"/>
            <family val="2"/>
          </rPr>
          <t> </t>
        </r>
        <r>
          <rPr>
            <b/>
            <sz val="9"/>
            <color indexed="81"/>
            <rFont val="Tahoma"/>
            <family val="2"/>
          </rPr>
          <t>• H</t>
        </r>
        <r>
          <rPr>
            <b/>
            <vertAlign val="subscript"/>
            <sz val="11"/>
            <color indexed="81"/>
            <rFont val="Tahoma"/>
            <family val="2"/>
          </rPr>
          <t>Fisch</t>
        </r>
        <r>
          <rPr>
            <b/>
            <sz val="9"/>
            <color indexed="81"/>
            <rFont val="Tahoma"/>
            <family val="2"/>
          </rPr>
          <t xml:space="preserve">
•Raugerinne-Beckenpässe: 
   heff ≥  4 • H</t>
        </r>
        <r>
          <rPr>
            <b/>
            <vertAlign val="subscript"/>
            <sz val="11"/>
            <color indexed="81"/>
            <rFont val="Tahoma"/>
            <family val="2"/>
          </rPr>
          <t>Fisch</t>
        </r>
        <r>
          <rPr>
            <sz val="9"/>
            <color indexed="81"/>
            <rFont val="Tahoma"/>
            <family val="2"/>
          </rPr>
          <t xml:space="preserve">
</t>
        </r>
      </text>
    </comment>
    <comment ref="O25" authorId="0" shapeId="0" xr:uid="{00000000-0006-0000-0400-00001C000000}">
      <text>
        <r>
          <rPr>
            <b/>
            <sz val="8"/>
            <color indexed="81"/>
            <rFont val="Tahoma"/>
            <family val="2"/>
          </rPr>
          <t>Differenz zwischen WSP OW und OK der Schlitzschwelle bzw. Sohlhöhe oberhalb des Riegels bei Anlagen ohne Schlitzschwelle</t>
        </r>
        <r>
          <rPr>
            <sz val="8"/>
            <color indexed="81"/>
            <rFont val="Tahoma"/>
            <family val="2"/>
          </rPr>
          <t xml:space="preserve">
</t>
        </r>
      </text>
    </comment>
    <comment ref="P25" authorId="0" shapeId="0" xr:uid="{00000000-0006-0000-0400-00001D000000}">
      <text>
        <r>
          <rPr>
            <b/>
            <sz val="8"/>
            <color indexed="81"/>
            <rFont val="Tahoma"/>
            <family val="2"/>
          </rPr>
          <t>Wassertiefe unterhalb des Riegels. Differenz zwischen WSP UW und Sohlhöhe UW des jew. Riegels.
!!!</t>
        </r>
        <r>
          <rPr>
            <b/>
            <sz val="10"/>
            <color indexed="81"/>
            <rFont val="Tahoma"/>
            <family val="2"/>
          </rPr>
          <t>Bei Raugerinnen in Beckenbauweise soll bei Verwendung von Sg=0,8 damit auch die Differenz zwischen hu und heff abgedeckt sein!!!</t>
        </r>
        <r>
          <rPr>
            <sz val="8"/>
            <color indexed="81"/>
            <rFont val="Tahoma"/>
            <family val="2"/>
          </rPr>
          <t xml:space="preserve">
</t>
        </r>
      </text>
    </comment>
    <comment ref="S25" authorId="0" shapeId="0" xr:uid="{00000000-0006-0000-0400-00001E000000}">
      <text>
        <r>
          <rPr>
            <b/>
            <sz val="8"/>
            <color indexed="81"/>
            <rFont val="Tahoma"/>
            <family val="2"/>
          </rPr>
          <t xml:space="preserve">Laut DVWK 1996 soll schießender Abfluss vermieden werden, d.h. hu &gt; hgr (Grenztiefe) sein. Für Schlitzpässe fordert M509, dass hu&gt; hgr. ist. Da hydraulisch ähnliche Verhältnisse auch z.B. in Raugerinne-Beckenpässen bestehen, wird die Prüfung hier ebenfalls durchgeführt. 
Für Riegelbauweisen fordert M509 die Einhaltung nicht!!! 
In jedem Fall sollte besonders darauf geachtet werden, eine  in Fließrichtung sehr kurze "Schlitzschwelle" (z.B. oben spitz zulaufend) einzubauen.
Die Prüfung wird getrennt für die Schlitzschwelle und den Schlitzbereich ohne Schwelle durchgeführt.      
"Okay": Bedingung auf ganzer Bereite eingehalten. "tlw. okay": Bedingung auf Teilbreite (Bereich ohne Schlitzschwelle) eingehalten.
</t>
        </r>
      </text>
    </comment>
    <comment ref="T25" authorId="0" shapeId="0" xr:uid="{00000000-0006-0000-0400-00001F000000}">
      <text>
        <r>
          <rPr>
            <b/>
            <sz val="9"/>
            <color indexed="81"/>
            <rFont val="Tahoma"/>
            <family val="2"/>
          </rPr>
          <t>Siehe Bemessungswerte aus DWA M509 (siehe Tabellenblatt) für die zulässige planerische Wasserspiegeldifferenz.</t>
        </r>
      </text>
    </comment>
    <comment ref="U25" authorId="0" shapeId="0" xr:uid="{00000000-0006-0000-0400-000020000000}">
      <text>
        <r>
          <rPr>
            <b/>
            <sz val="10"/>
            <color indexed="81"/>
            <rFont val="Tahoma"/>
            <family val="2"/>
          </rPr>
          <t>Der Wert wird über eine aus den Grafiken des DVWK-Merkblatts 232 entwickelte Funktion berechnet.</t>
        </r>
        <r>
          <rPr>
            <b/>
            <sz val="8"/>
            <color indexed="81"/>
            <rFont val="Tahoma"/>
            <family val="2"/>
          </rPr>
          <t xml:space="preserve">
</t>
        </r>
        <r>
          <rPr>
            <b/>
            <sz val="12"/>
            <color indexed="81"/>
            <rFont val="Tahoma"/>
            <family val="2"/>
          </rPr>
          <t xml:space="preserve">Hier wurde die neue Formel für </t>
        </r>
        <r>
          <rPr>
            <b/>
            <sz val="12"/>
            <color indexed="81"/>
            <rFont val="Symbol"/>
            <family val="1"/>
            <charset val="2"/>
          </rPr>
          <t>s</t>
        </r>
        <r>
          <rPr>
            <b/>
            <sz val="12"/>
            <color indexed="81"/>
            <rFont val="Tahoma"/>
            <family val="2"/>
          </rPr>
          <t xml:space="preserve"> aus DWA M509(Entwurf) eingesetzt.</t>
        </r>
      </text>
    </comment>
    <comment ref="W25" authorId="0" shapeId="0" xr:uid="{00000000-0006-0000-0400-000021000000}">
      <text>
        <r>
          <rPr>
            <b/>
            <sz val="10"/>
            <color indexed="81"/>
            <rFont val="Tahoma"/>
            <family val="2"/>
          </rPr>
          <t>Der Wert wird gemäß DWA M509 (Entwurf) berechnet.</t>
        </r>
      </text>
    </comment>
    <comment ref="X25" authorId="0" shapeId="0" xr:uid="{00000000-0006-0000-0400-000022000000}">
      <text>
        <r>
          <rPr>
            <b/>
            <sz val="10"/>
            <color indexed="81"/>
            <rFont val="Tahoma"/>
            <family val="2"/>
          </rPr>
          <t>Die Wassermenge, die über die Riegelkrone überfällt, wird abhängig von Unter- und Oberwasserstand gesondert berechnet.</t>
        </r>
        <r>
          <rPr>
            <sz val="8"/>
            <color indexed="81"/>
            <rFont val="Tahoma"/>
            <family val="2"/>
          </rPr>
          <t xml:space="preserve">
</t>
        </r>
      </text>
    </comment>
    <comment ref="Y25" authorId="0" shapeId="0" xr:uid="{00000000-0006-0000-0400-000023000000}">
      <text>
        <r>
          <rPr>
            <b/>
            <sz val="10"/>
            <color indexed="81"/>
            <rFont val="Tahoma"/>
            <family val="2"/>
          </rPr>
          <t xml:space="preserve">Der Gesamtabfluss muss zur Berechnung der Anlage an jedem Riegel die gleiche Höhe aufweisen. Er setzt sich aus dem Abfluss durch den/die Schlitze, den Spaltverlusten und dem Überfall über die Riegelkronen zusammen.
</t>
        </r>
      </text>
    </comment>
    <comment ref="Z25" authorId="0" shapeId="0" xr:uid="{00000000-0006-0000-0400-000024000000}">
      <text>
        <r>
          <rPr>
            <b/>
            <sz val="8"/>
            <color indexed="81"/>
            <rFont val="Tahoma"/>
            <family val="2"/>
          </rPr>
          <t>Vmax=  √(2g</t>
        </r>
        <r>
          <rPr>
            <b/>
            <sz val="8"/>
            <color indexed="81"/>
            <rFont val="Symbol"/>
            <family val="1"/>
            <charset val="2"/>
          </rPr>
          <t>D</t>
        </r>
        <r>
          <rPr>
            <b/>
            <sz val="8"/>
            <color indexed="81"/>
            <rFont val="Tahoma"/>
            <family val="2"/>
          </rPr>
          <t>h). Der Wert am untersten Schlitz ist gleich der Leitströmung der Anlage, wenn der unterste Riegel günstig positioniert ist.</t>
        </r>
        <r>
          <rPr>
            <sz val="8"/>
            <color indexed="81"/>
            <rFont val="Tahoma"/>
            <family val="2"/>
          </rPr>
          <t xml:space="preserve">
</t>
        </r>
      </text>
    </comment>
    <comment ref="AA25" authorId="0" shapeId="0" xr:uid="{00000000-0006-0000-0400-000025000000}">
      <text>
        <r>
          <rPr>
            <b/>
            <sz val="10"/>
            <color indexed="81"/>
            <rFont val="Tahoma"/>
            <family val="2"/>
          </rPr>
          <t>Die volumenspezifische Leistungs-dichte im Becken unterhalb des Riegels soll einen bestimmten Wert nicht übersteigen.</t>
        </r>
        <r>
          <rPr>
            <b/>
            <sz val="8"/>
            <color indexed="81"/>
            <rFont val="Tahoma"/>
            <family val="2"/>
          </rPr>
          <t xml:space="preserve">
</t>
        </r>
        <r>
          <rPr>
            <b/>
            <sz val="10"/>
            <color indexed="81"/>
            <rFont val="Tahoma"/>
            <family val="2"/>
          </rPr>
          <t>Der Wert ist abhängig von der Fischregion und reicht bei planerischer Betrachtung und Ansatz von Sicherheitsbeiwerten gem. Tab. 39 des DWA M509 (Entwurf) von 90 W/m³ in der Kaulbarsch-Flunder-Region bis 225 W/m³ in der Oberen Forellenregion.</t>
        </r>
      </text>
    </comment>
    <comment ref="AB25" authorId="0" shapeId="0" xr:uid="{00000000-0006-0000-0400-000026000000}">
      <text>
        <r>
          <rPr>
            <b/>
            <sz val="8"/>
            <color indexed="81"/>
            <rFont val="Tahoma"/>
            <family val="2"/>
          </rPr>
          <t>Mittlere Wassertiefe im Becken.</t>
        </r>
      </text>
    </comment>
    <comment ref="AC25" authorId="0" shapeId="0" xr:uid="{00000000-0006-0000-0400-000027000000}">
      <text>
        <r>
          <rPr>
            <b/>
            <sz val="8"/>
            <color indexed="81"/>
            <rFont val="Tahoma"/>
            <family val="2"/>
          </rPr>
          <t xml:space="preserve">hier wird auch auch die angegebene Böschungsneigung berücksichtigt </t>
        </r>
        <r>
          <rPr>
            <sz val="8"/>
            <color indexed="81"/>
            <rFont val="Tahoma"/>
            <family val="2"/>
          </rPr>
          <t xml:space="preserve">
</t>
        </r>
      </text>
    </comment>
    <comment ref="AD25" authorId="0" shapeId="0" xr:uid="{00000000-0006-0000-0400-000028000000}">
      <text>
        <r>
          <rPr>
            <b/>
            <sz val="8"/>
            <color indexed="81"/>
            <rFont val="Tahoma"/>
            <family val="2"/>
          </rPr>
          <t>Siehe Vorgaben DWA M509 für die Mindestbeckenlänge. Sind u.a. von der größten zu berücksichtigenden Fischart abhängig.
Die Werte können z.B. bei geringen Abweichungen von Hand überschrieben werden. Dann erfolgt aber keine weitere Anpassung bei Änderung der Gesamtlänge der Anlage. Die Berechnung geht jedoch von einem gleichmäßigen Sohlgefälle aus, so dass sich bei langen Becken im oberen Bereich geringe Wassertiefen etc. einstellen. Die Sohlhöhen müssen daher ebenfalls angepasst werden.</t>
        </r>
        <r>
          <rPr>
            <sz val="8"/>
            <color indexed="81"/>
            <rFont val="Tahoma"/>
            <family val="2"/>
          </rPr>
          <t xml:space="preserve">
</t>
        </r>
      </text>
    </comment>
    <comment ref="AE25" authorId="0" shapeId="0" xr:uid="{00000000-0006-0000-0400-000029000000}">
      <text>
        <r>
          <rPr>
            <b/>
            <sz val="8"/>
            <color indexed="81"/>
            <rFont val="Tahoma"/>
            <family val="2"/>
          </rPr>
          <t>Mittlere Fließgeschwin-digkeit bezogen auf den mittleren Fließquerschnitt des Beckens unterhalb des Riegels.</t>
        </r>
      </text>
    </comment>
    <comment ref="AF25" authorId="0" shapeId="0" xr:uid="{00000000-0006-0000-0400-00002A000000}">
      <text>
        <r>
          <rPr>
            <b/>
            <sz val="9"/>
            <color indexed="81"/>
            <rFont val="Tahoma"/>
            <family val="2"/>
          </rPr>
          <t>Laut Oertel et al. (2012) bzw. DWA M509 findet ein Beckenabfluss mit nahezu vollständiger Energieumwandlung nur bis zu einem Oberwasserniveau von ca.1,5</t>
        </r>
        <r>
          <rPr>
            <b/>
            <sz val="9"/>
            <color indexed="81"/>
            <rFont val="Calibri"/>
            <family val="2"/>
          </rPr>
          <t> </t>
        </r>
        <r>
          <rPr>
            <b/>
            <sz val="9"/>
            <color indexed="81"/>
            <rFont val="Tahoma"/>
            <family val="2"/>
          </rPr>
          <t>• Riegelhöhe statt.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500-000001000000}">
      <text>
        <r>
          <rPr>
            <b/>
            <sz val="8"/>
            <color indexed="81"/>
            <rFont val="Tahoma"/>
            <family val="2"/>
          </rPr>
          <t>hier ist die Länge der Rampe/Gleite inclusive erstem und letztem Riegel anzugeben</t>
        </r>
        <r>
          <rPr>
            <sz val="8"/>
            <color indexed="81"/>
            <rFont val="Tahoma"/>
            <family val="2"/>
          </rPr>
          <t xml:space="preserve">
</t>
        </r>
      </text>
    </comment>
    <comment ref="Y8" authorId="0" shapeId="0" xr:uid="{00000000-0006-0000-0500-000002000000}">
      <text>
        <r>
          <rPr>
            <b/>
            <sz val="9"/>
            <color indexed="81"/>
            <rFont val="Tahoma"/>
            <family val="2"/>
          </rPr>
          <t xml:space="preserve">Der Wert </t>
        </r>
        <r>
          <rPr>
            <b/>
            <sz val="9"/>
            <color indexed="81"/>
            <rFont val="Symbol"/>
            <family val="1"/>
            <charset val="2"/>
          </rPr>
          <t>m</t>
        </r>
        <r>
          <rPr>
            <b/>
            <sz val="9"/>
            <color indexed="81"/>
            <rFont val="Tahoma"/>
            <family val="2"/>
          </rPr>
          <t>=0,55 wurde in Spalte für Qges ohne Änderungsoption einprogrammiert.</t>
        </r>
        <r>
          <rPr>
            <sz val="9"/>
            <color indexed="81"/>
            <rFont val="Tahoma"/>
            <family val="2"/>
          </rPr>
          <t xml:space="preserve">
Bei Vorhandensein einer Schlitzschwelle (Feld F17 &gt; 0), wird für diese Breite der Wert "</t>
        </r>
        <r>
          <rPr>
            <b/>
            <sz val="9"/>
            <color indexed="81"/>
            <rFont val="Symbol"/>
            <family val="1"/>
            <charset val="2"/>
          </rPr>
          <t>m</t>
        </r>
        <r>
          <rPr>
            <sz val="9"/>
            <color indexed="81"/>
            <rFont val="Tahoma"/>
            <family val="2"/>
          </rPr>
          <t xml:space="preserve"> Schlitzschwelle" (Spalte I) verwendet. </t>
        </r>
      </text>
    </comment>
    <comment ref="F10" authorId="0" shapeId="0" xr:uid="{00000000-0006-0000-0500-000003000000}">
      <text>
        <r>
          <rPr>
            <b/>
            <sz val="8"/>
            <color indexed="81"/>
            <rFont val="Tahoma"/>
            <family val="2"/>
          </rPr>
          <t>hier ist die Sohlhöhe der Rampe direkt oberhalb des obersten Riegels anzugeben</t>
        </r>
        <r>
          <rPr>
            <sz val="8"/>
            <color indexed="81"/>
            <rFont val="Tahoma"/>
            <family val="2"/>
          </rPr>
          <t xml:space="preserve">
</t>
        </r>
      </text>
    </comment>
    <comment ref="F11" authorId="0" shapeId="0" xr:uid="{00000000-0006-0000-0500-000004000000}">
      <text>
        <r>
          <rPr>
            <b/>
            <sz val="8"/>
            <color indexed="81"/>
            <rFont val="Tahoma"/>
            <family val="2"/>
          </rPr>
          <t>hier ist die Sohlhöhe der Rampe direkt unterhalb des untersten Riegels anzugeben</t>
        </r>
        <r>
          <rPr>
            <sz val="8"/>
            <color indexed="81"/>
            <rFont val="Tahoma"/>
            <family val="2"/>
          </rPr>
          <t xml:space="preserve">
</t>
        </r>
      </text>
    </comment>
    <comment ref="F12" authorId="0" shapeId="0" xr:uid="{00000000-0006-0000-0500-000005000000}">
      <text>
        <r>
          <rPr>
            <b/>
            <sz val="8"/>
            <color indexed="81"/>
            <rFont val="Tahoma"/>
            <family val="2"/>
          </rPr>
          <t>Wasserspiegel im Oberwasser der Anlage</t>
        </r>
        <r>
          <rPr>
            <sz val="8"/>
            <color indexed="81"/>
            <rFont val="Tahoma"/>
            <family val="2"/>
          </rPr>
          <t xml:space="preserve">
</t>
        </r>
        <r>
          <rPr>
            <b/>
            <sz val="8"/>
            <color indexed="81"/>
            <rFont val="Tahoma"/>
            <family val="2"/>
          </rPr>
          <t xml:space="preserve">Er ist auch dann als vorläufiger Wert anzugeben, wenn er sich aus der Konstruktion der Anlage selbst ergibt, wie bei Anlagen, die den gesamten Abfluss abführen.
</t>
        </r>
      </text>
    </comment>
    <comment ref="F13" authorId="0" shapeId="0" xr:uid="{00000000-0006-0000-0500-000006000000}">
      <text>
        <r>
          <rPr>
            <b/>
            <sz val="8"/>
            <color indexed="81"/>
            <rFont val="Tahoma"/>
            <family val="2"/>
          </rPr>
          <t xml:space="preserve">Wasserspiegel im Unterwasser der Anlage
</t>
        </r>
        <r>
          <rPr>
            <sz val="8"/>
            <color indexed="81"/>
            <rFont val="Tahoma"/>
            <family val="2"/>
          </rPr>
          <t xml:space="preserve">
</t>
        </r>
      </text>
    </comment>
    <comment ref="F14" authorId="0" shapeId="0" xr:uid="{00000000-0006-0000-0500-000007000000}">
      <text>
        <r>
          <rPr>
            <b/>
            <sz val="8"/>
            <color indexed="81"/>
            <rFont val="Tahoma"/>
            <family val="2"/>
          </rPr>
          <t xml:space="preserve">hier ist die Differenz zwischen Oberkante des Riegels und der Oberkante der Sohle der Anlage gemeint (d.h. der Anteil der Steinhöhe, der in die Sohle eingebunden ist, wird nicht berücksichtigt).
</t>
        </r>
        <r>
          <rPr>
            <sz val="8"/>
            <color indexed="81"/>
            <rFont val="Tahoma"/>
            <family val="2"/>
          </rPr>
          <t xml:space="preserve">
</t>
        </r>
      </text>
    </comment>
    <comment ref="F15" authorId="0" shapeId="0" xr:uid="{00000000-0006-0000-0500-000008000000}">
      <text>
        <r>
          <rPr>
            <b/>
            <sz val="8"/>
            <color indexed="81"/>
            <rFont val="Tahoma"/>
            <family val="2"/>
          </rPr>
          <t>Zumindest ein Schlitz pro Riegel sollte die Mindestbreite nach DVWK für Schlitzpässe aufweisen. Das "Handbuch Querbauwerke" (MUNLV NRW 2005) empfiehlt für naturnahe Anlagen deutlich größere Werte.</t>
        </r>
        <r>
          <rPr>
            <sz val="8"/>
            <color indexed="81"/>
            <rFont val="Tahoma"/>
            <family val="2"/>
          </rPr>
          <t xml:space="preserve">
</t>
        </r>
      </text>
    </comment>
    <comment ref="R15" authorId="0" shapeId="0" xr:uid="{00000000-0006-0000-0500-000009000000}">
      <text>
        <r>
          <rPr>
            <b/>
            <sz val="9"/>
            <color indexed="81"/>
            <rFont val="Tahoma"/>
            <family val="2"/>
          </rPr>
          <t>DWA M509: "Die obigen Gleichungen setzen voraus, dass die hydraulische Energie in den Becken nahezu vollständig umgewandelt wird und sich keine Schussstrahlen von Durchflussöffnung zu Durchflussöffnung ausbilden. Um dies abzusichern, müssen die Durchlassöffnungen deutlich gegeneinander um ys versetzt und alternierend angeordnet werden. Weiterhin müssen entsprechende Beckenbreiten und -längen eingehalten werden."
Ergibt sich dann eine ungünstige Schlitzan- und -durchströmung kann bei Riegelbauweise ein zu umströmender Naturstein die Funktion einer Leitwand , wie sie bei Schlitzpässen eingebaut wird, übernehmen.</t>
        </r>
        <r>
          <rPr>
            <sz val="9"/>
            <color indexed="81"/>
            <rFont val="Tahoma"/>
            <family val="2"/>
          </rPr>
          <t xml:space="preserve">
</t>
        </r>
      </text>
    </comment>
    <comment ref="F16" authorId="0" shapeId="0" xr:uid="{00000000-0006-0000-0500-00000A000000}">
      <text>
        <r>
          <rPr>
            <b/>
            <sz val="8"/>
            <color indexed="81"/>
            <rFont val="Tahoma"/>
            <family val="2"/>
          </rPr>
          <t>Bei geringen Abflüssen und zur Erhöhung der Riegelüberströmung zur Verringerung der Verlegungsneigung der Anlage kann zur Gewährleistung einer ausreichenden Wassertiefe eine Schwelle im Bereich des Schlitzes eingebaut werden. Vorschlag: Schwelle direkt unterhalb des Riegelschlitzes mit seitlich kleinen Schlitzen (wenige cm) bis auf Anlagensohle anordnen.</t>
        </r>
        <r>
          <rPr>
            <sz val="8"/>
            <color indexed="81"/>
            <rFont val="Tahoma"/>
            <family val="2"/>
          </rPr>
          <t xml:space="preserve">
</t>
        </r>
        <r>
          <rPr>
            <b/>
            <sz val="8"/>
            <color indexed="81"/>
            <rFont val="Tahoma"/>
            <family val="2"/>
          </rPr>
          <t xml:space="preserve">Wird keine Schwelle vorgesehen, ist "0" einzugeben.
</t>
        </r>
        <r>
          <rPr>
            <b/>
            <sz val="10"/>
            <color indexed="10"/>
            <rFont val="Tahoma"/>
            <family val="2"/>
          </rPr>
          <t>In jedem Fall ist auf einn raue Ausbildung der Sohle im Schlitz sowie ober- und unterhalb zu achten.</t>
        </r>
      </text>
    </comment>
    <comment ref="R16" authorId="0" shapeId="0" xr:uid="{00000000-0006-0000-0500-00000B000000}">
      <text>
        <r>
          <rPr>
            <b/>
            <sz val="9"/>
            <color indexed="81"/>
            <rFont val="Tahoma"/>
            <family val="2"/>
          </rPr>
          <t>DWA M509: "Die obigen Gleichungen setzen voraus, dass die hydraulische Energie in den Becken nahezu vollständig umgewandelt wird und sich keine Schussstrahlen von Durchflussöffnung zu Durchflussöffnung ausbilden. Um dies abzusichern, müssen die Durchlassöffnungen deutlich gegeneinander um ys versetzt und alternierend angeordnet werden. Weiterhin müssen entsprechende Beckenbreiten und -längen eingehalten werden."</t>
        </r>
      </text>
    </comment>
    <comment ref="F17" authorId="0" shapeId="0" xr:uid="{00000000-0006-0000-0500-00000C000000}">
      <text>
        <r>
          <rPr>
            <b/>
            <sz val="10"/>
            <color indexed="81"/>
            <rFont val="Arial"/>
            <family val="2"/>
          </rPr>
          <t xml:space="preserve">Wenn keine Schwelle im Schlitz vorhanden ist, sollte die Breite der Schwelle auf "0" gesetzt werden, sonst rechnet das Arbeitsblatt für die eingegebene Breite mit dem </t>
        </r>
        <r>
          <rPr>
            <b/>
            <sz val="10"/>
            <color indexed="81"/>
            <rFont val="Symbol"/>
            <family val="1"/>
            <charset val="2"/>
          </rPr>
          <t>m</t>
        </r>
        <r>
          <rPr>
            <b/>
            <sz val="10"/>
            <color indexed="81"/>
            <rFont val="Arial"/>
            <family val="2"/>
          </rPr>
          <t>-Wert für die Schlitzschwelle (Spalte "I") statt mit dem Wert 0,55 (Vorgabe M509).</t>
        </r>
        <r>
          <rPr>
            <sz val="10"/>
            <color indexed="81"/>
            <rFont val="Arial"/>
            <family val="2"/>
          </rPr>
          <t xml:space="preserve">
</t>
        </r>
      </text>
    </comment>
    <comment ref="R17" authorId="0" shapeId="0" xr:uid="{00000000-0006-0000-0500-00000D000000}">
      <text>
        <r>
          <rPr>
            <b/>
            <sz val="9"/>
            <color indexed="81"/>
            <rFont val="Tahoma"/>
            <family val="2"/>
          </rPr>
          <t>Wert gilt nur bei  P</t>
        </r>
        <r>
          <rPr>
            <b/>
            <vertAlign val="subscript"/>
            <sz val="11"/>
            <color indexed="81"/>
            <rFont val="Tahoma"/>
            <family val="2"/>
          </rPr>
          <t>D</t>
        </r>
        <r>
          <rPr>
            <b/>
            <sz val="9"/>
            <color indexed="81"/>
            <rFont val="Tahoma"/>
            <family val="2"/>
          </rPr>
          <t>&gt;150 W/m</t>
        </r>
        <r>
          <rPr>
            <b/>
            <vertAlign val="superscript"/>
            <sz val="11"/>
            <color indexed="81"/>
            <rFont val="Tahoma"/>
            <family val="2"/>
          </rPr>
          <t>3</t>
        </r>
        <r>
          <rPr>
            <b/>
            <sz val="9"/>
            <color indexed="81"/>
            <rFont val="Tahoma"/>
            <family val="2"/>
          </rPr>
          <t>. Ansonsten ist die Bemessungsfischart oder die max. zul. P</t>
        </r>
        <r>
          <rPr>
            <b/>
            <vertAlign val="subscript"/>
            <sz val="11"/>
            <color indexed="81"/>
            <rFont val="Tahoma"/>
            <family val="2"/>
          </rPr>
          <t>D</t>
        </r>
        <r>
          <rPr>
            <b/>
            <sz val="9"/>
            <color indexed="81"/>
            <rFont val="Tahoma"/>
            <family val="2"/>
          </rPr>
          <t xml:space="preserve"> relevant für die Mindestbeckenlänge.
(M509, S.188)</t>
        </r>
      </text>
    </comment>
    <comment ref="F18" authorId="0" shapeId="0" xr:uid="{00000000-0006-0000-0500-00000E000000}">
      <text>
        <r>
          <rPr>
            <b/>
            <sz val="8"/>
            <color indexed="81"/>
            <rFont val="Tahoma"/>
            <family val="2"/>
          </rPr>
          <t>hier ist die mittlere Riegeldicke anzugeben</t>
        </r>
      </text>
    </comment>
    <comment ref="F19" authorId="0" shapeId="0" xr:uid="{00000000-0006-0000-0500-00000F000000}">
      <text>
        <r>
          <rPr>
            <b/>
            <sz val="8"/>
            <color indexed="81"/>
            <rFont val="Tahoma"/>
            <family val="2"/>
          </rPr>
          <t>Wert dient der Berechnung des Abminderungsfaktors "c" für den Einfluss des Unterwasserstands in Spalte H. Eingabewerte siehe weiter rechts.
Berechnung stellt eine Abweichung zum M509 dar, da der Abminderungsfaktor  "c" für den Abfluss über die Riegelkronen den Wert "</t>
        </r>
        <r>
          <rPr>
            <b/>
            <sz val="11"/>
            <color indexed="81"/>
            <rFont val="Symbol"/>
            <family val="1"/>
            <charset val="2"/>
          </rPr>
          <t>s</t>
        </r>
        <r>
          <rPr>
            <b/>
            <sz val="11"/>
            <color indexed="81"/>
            <rFont val="Tahoma"/>
            <family val="2"/>
          </rPr>
          <t>"</t>
        </r>
        <r>
          <rPr>
            <b/>
            <sz val="8"/>
            <color indexed="81"/>
            <rFont val="Tahoma"/>
            <family val="2"/>
          </rPr>
          <t xml:space="preserve"> ersetzt.</t>
        </r>
        <r>
          <rPr>
            <sz val="8"/>
            <color indexed="81"/>
            <rFont val="Tahoma"/>
            <family val="2"/>
          </rPr>
          <t xml:space="preserve">
</t>
        </r>
      </text>
    </comment>
    <comment ref="F20" authorId="0" shapeId="0" xr:uid="{00000000-0006-0000-0500-000010000000}">
      <text>
        <r>
          <rPr>
            <b/>
            <sz val="9"/>
            <color indexed="81"/>
            <rFont val="Tahoma"/>
            <family val="2"/>
          </rPr>
          <t>Wenn hier "0" eingegeben wird, wird bei heff (Spalte O)   hu ausgegeben.</t>
        </r>
        <r>
          <rPr>
            <sz val="9"/>
            <color indexed="81"/>
            <rFont val="Tahoma"/>
            <family val="2"/>
          </rPr>
          <t xml:space="preserve">
</t>
        </r>
      </text>
    </comment>
    <comment ref="N20" authorId="0" shapeId="0" xr:uid="{00000000-0006-0000-0500-000011000000}">
      <text>
        <r>
          <rPr>
            <b/>
            <sz val="9"/>
            <color indexed="81"/>
            <rFont val="Tahoma"/>
            <family val="2"/>
          </rPr>
          <t>Soweit Erosionssicherheit nicht anderweitig gegeben (z.B. starke Überstauung bei HQ)</t>
        </r>
        <r>
          <rPr>
            <sz val="9"/>
            <color indexed="81"/>
            <rFont val="Tahoma"/>
            <family val="2"/>
          </rPr>
          <t xml:space="preserve">
</t>
        </r>
      </text>
    </comment>
    <comment ref="N21" authorId="0" shapeId="0" xr:uid="{00000000-0006-0000-0500-000012000000}">
      <text>
        <r>
          <rPr>
            <b/>
            <sz val="9"/>
            <color indexed="81"/>
            <rFont val="Tahoma"/>
            <family val="2"/>
          </rPr>
          <t>Soweit Erosionssicherheit nicht anderweitig gegeben (z.B. starke Überstauung bei HQ)</t>
        </r>
        <r>
          <rPr>
            <sz val="9"/>
            <color indexed="81"/>
            <rFont val="Tahoma"/>
            <family val="2"/>
          </rPr>
          <t xml:space="preserve">
</t>
        </r>
      </text>
    </comment>
    <comment ref="A24" authorId="0" shapeId="0" xr:uid="{00000000-0006-0000-0500-000013000000}">
      <text>
        <r>
          <rPr>
            <b/>
            <sz val="8"/>
            <color indexed="81"/>
            <rFont val="Tahoma"/>
            <family val="2"/>
          </rPr>
          <t>Riegel Nr. 1 ist der unterste Riegel</t>
        </r>
        <r>
          <rPr>
            <sz val="8"/>
            <color indexed="81"/>
            <rFont val="Tahoma"/>
            <family val="2"/>
          </rPr>
          <t xml:space="preserve">
</t>
        </r>
      </text>
    </comment>
    <comment ref="B24" authorId="0" shapeId="0" xr:uid="{00000000-0006-0000-0500-000014000000}">
      <text>
        <r>
          <rPr>
            <b/>
            <sz val="8"/>
            <color indexed="81"/>
            <rFont val="Tahoma"/>
            <family val="2"/>
          </rPr>
          <t>Als Station wird vom Unterwasser aus betrachtet die Vorderkante der Riegel angegeben.</t>
        </r>
        <r>
          <rPr>
            <sz val="8"/>
            <color indexed="81"/>
            <rFont val="Tahoma"/>
            <family val="2"/>
          </rPr>
          <t xml:space="preserve">
</t>
        </r>
      </text>
    </comment>
    <comment ref="C24" authorId="0" shapeId="0" xr:uid="{00000000-0006-0000-0500-000015000000}">
      <text>
        <r>
          <rPr>
            <b/>
            <sz val="8"/>
            <color indexed="81"/>
            <rFont val="Tahoma"/>
            <family val="2"/>
          </rPr>
          <t>Hier wird die Sohlhöhe an der Oberwasserseite des Riegels angegeben.</t>
        </r>
        <r>
          <rPr>
            <sz val="8"/>
            <color indexed="81"/>
            <rFont val="Tahoma"/>
            <family val="2"/>
          </rPr>
          <t xml:space="preserve">
</t>
        </r>
      </text>
    </comment>
    <comment ref="D24" authorId="0" shapeId="0" xr:uid="{00000000-0006-0000-0500-000016000000}">
      <text>
        <r>
          <rPr>
            <b/>
            <sz val="8"/>
            <color indexed="81"/>
            <rFont val="Tahoma"/>
            <family val="2"/>
          </rPr>
          <t>Hier wird die Sohlhöhe an der Unterwasserseite des Riegels angegeben.</t>
        </r>
        <r>
          <rPr>
            <sz val="8"/>
            <color indexed="81"/>
            <rFont val="Tahoma"/>
            <family val="2"/>
          </rPr>
          <t xml:space="preserve">
</t>
        </r>
        <r>
          <rPr>
            <sz val="8"/>
            <color indexed="81"/>
            <rFont val="Tahoma"/>
            <family val="2"/>
          </rPr>
          <t xml:space="preserve">
</t>
        </r>
      </text>
    </comment>
    <comment ref="E24" authorId="0" shapeId="0" xr:uid="{00000000-0006-0000-0500-000017000000}">
      <text>
        <r>
          <rPr>
            <b/>
            <sz val="8"/>
            <color indexed="81"/>
            <rFont val="Tahoma"/>
            <family val="2"/>
          </rPr>
          <t>Höhenlage der Oberkante des Riegels</t>
        </r>
        <r>
          <rPr>
            <sz val="8"/>
            <color indexed="81"/>
            <rFont val="Tahoma"/>
            <family val="2"/>
          </rPr>
          <t xml:space="preserve">
</t>
        </r>
      </text>
    </comment>
    <comment ref="F24" authorId="0" shapeId="0" xr:uid="{00000000-0006-0000-0500-000018000000}">
      <text>
        <r>
          <rPr>
            <b/>
            <sz val="8"/>
            <color indexed="81"/>
            <rFont val="Tahoma"/>
            <family val="2"/>
          </rPr>
          <t xml:space="preserve">Der Überfallbeiwert </t>
        </r>
        <r>
          <rPr>
            <b/>
            <sz val="8"/>
            <color indexed="81"/>
            <rFont val="Symbol"/>
            <family val="1"/>
            <charset val="2"/>
          </rPr>
          <t>m</t>
        </r>
        <r>
          <rPr>
            <b/>
            <sz val="8"/>
            <color indexed="81"/>
            <rFont val="Tahoma"/>
            <family val="2"/>
          </rPr>
          <t xml:space="preserve"> ist von der Form (breit und rechtwinklig-&gt; ca. 0,5; gebrochene Kanten bis rund-&gt; 0,6-0,8) der Riegelkrone abhängig.</t>
        </r>
        <r>
          <rPr>
            <sz val="8"/>
            <color indexed="81"/>
            <rFont val="Tahoma"/>
            <family val="2"/>
          </rPr>
          <t xml:space="preserve">
</t>
        </r>
      </text>
    </comment>
    <comment ref="G24" authorId="0" shapeId="0" xr:uid="{00000000-0006-0000-0500-000019000000}">
      <text>
        <r>
          <rPr>
            <b/>
            <sz val="8"/>
            <color indexed="81"/>
            <rFont val="Tahoma"/>
            <family val="2"/>
          </rPr>
          <t>Hier ist die Summe der Riegelbreite einzugeben. Dabei wird der Schlitz nicht mitgezählt.  Es kann sinnvoll sein, die Riegel in den Bereichen, die die hier eingetragene Breite überschreiten, höher zu ziehen.  
Dadurch kann die Wassertiefe bei höheren Abflüssen (z.B. Q330) erhöht werden.</t>
        </r>
      </text>
    </comment>
    <comment ref="I24" authorId="0" shapeId="0" xr:uid="{00000000-0006-0000-0500-00001A000000}">
      <text>
        <r>
          <rPr>
            <b/>
            <sz val="8"/>
            <color indexed="81"/>
            <rFont val="Tahoma"/>
            <family val="2"/>
          </rPr>
          <t>Höhenlage der Oberkante der Schlitzschwelle. Wenn keine Schwelle im Schlitzvorhanden, dann =Sohlhöhe</t>
        </r>
        <r>
          <rPr>
            <sz val="8"/>
            <color indexed="81"/>
            <rFont val="Tahoma"/>
            <family val="2"/>
          </rPr>
          <t xml:space="preserve">
</t>
        </r>
      </text>
    </comment>
    <comment ref="J24" authorId="0" shapeId="0" xr:uid="{00000000-0006-0000-0500-00001B000000}">
      <text>
        <r>
          <rPr>
            <b/>
            <sz val="10"/>
            <color indexed="81"/>
            <rFont val="Tahoma"/>
            <family val="2"/>
          </rPr>
          <t>Überfallbeiwert der Schlitzschwellle. Es gelten die gleichen  Werte, wie beim Überfallbeiwert der Riegelkrone</t>
        </r>
        <r>
          <rPr>
            <sz val="10"/>
            <color indexed="81"/>
            <rFont val="Tahoma"/>
            <family val="2"/>
          </rPr>
          <t xml:space="preserve">
</t>
        </r>
      </text>
    </comment>
    <comment ref="K24" authorId="0" shapeId="0" xr:uid="{00000000-0006-0000-0500-00001C000000}">
      <text>
        <r>
          <rPr>
            <b/>
            <sz val="8"/>
            <color indexed="81"/>
            <rFont val="Tahoma"/>
            <family val="2"/>
          </rPr>
          <t>Wasserspiegelniveau oberhalb des Riegels</t>
        </r>
      </text>
    </comment>
    <comment ref="L24" authorId="0" shapeId="0" xr:uid="{00000000-0006-0000-0500-00001D000000}">
      <text>
        <r>
          <rPr>
            <b/>
            <sz val="8"/>
            <color indexed="81"/>
            <rFont val="Tahoma"/>
            <family val="2"/>
          </rPr>
          <t>Wasserspiegelniveau unterhalb des Riegels</t>
        </r>
      </text>
    </comment>
    <comment ref="M24" authorId="0" shapeId="0" xr:uid="{00000000-0006-0000-0500-00001E000000}">
      <text>
        <r>
          <rPr>
            <b/>
            <sz val="8"/>
            <color indexed="81"/>
            <rFont val="Tahoma"/>
            <family val="2"/>
          </rPr>
          <t>Differenz zwischen WSP OW und OK der Schlitzschwelle bzw. Sohlhöhe oberhalb des Riegels bei Anlagen ohne Schlitzschwelle</t>
        </r>
        <r>
          <rPr>
            <sz val="8"/>
            <color indexed="81"/>
            <rFont val="Tahoma"/>
            <family val="2"/>
          </rPr>
          <t xml:space="preserve">
</t>
        </r>
      </text>
    </comment>
    <comment ref="N24" authorId="0" shapeId="0" xr:uid="{00000000-0006-0000-0500-00001F000000}">
      <text>
        <r>
          <rPr>
            <b/>
            <sz val="8"/>
            <color indexed="81"/>
            <rFont val="Tahoma"/>
            <family val="2"/>
          </rPr>
          <t xml:space="preserve">Differenz zwischen WSP UW und OK der Schlitzschwelle.
Dieser Wert entspricht hD,min in M509 (siehe Weißdruck S.190).
Relevant, wenn bei geringen Gewässerabflüssen in den Schlitzen Schwellen angeordnet werden sollen.
Dies ist ungünstig für die Passage des Makrozoobenthos und für Jung- und Kleinfischarten (z.B. Vordermeier 1998).
Die Schwelle soll immer rau bzw. zerklüftet und möglichst kurz sein.
</t>
        </r>
        <r>
          <rPr>
            <sz val="8"/>
            <color indexed="81"/>
            <rFont val="Tahoma"/>
            <family val="2"/>
          </rPr>
          <t xml:space="preserve">
</t>
        </r>
      </text>
    </comment>
    <comment ref="O24" authorId="0" shapeId="0" xr:uid="{00000000-0006-0000-0500-000020000000}">
      <text>
        <r>
          <rPr>
            <b/>
            <sz val="9"/>
            <color indexed="81"/>
            <rFont val="Tahoma"/>
            <family val="2"/>
          </rPr>
          <t xml:space="preserve">Effektiv nutzbare Wassertiefe. Für die Fische nutzbare Wassertiefe oberhalb der Rauheitshöhe.
</t>
        </r>
        <r>
          <rPr>
            <b/>
            <sz val="11"/>
            <color indexed="60"/>
            <rFont val="Tahoma"/>
            <family val="2"/>
          </rPr>
          <t>!! In Raugerinnen mit Becken durch Sg=0,8 mit abgedeckt !! Da gilt nur hu !!
Ist = hu, wenn in F20 als Wert Null eingegeben wird.</t>
        </r>
        <r>
          <rPr>
            <b/>
            <sz val="9"/>
            <color indexed="81"/>
            <rFont val="Tahoma"/>
            <family val="2"/>
          </rPr>
          <t xml:space="preserve">
•Raugerinne: heff ≥ 2,5 • HFisch
•Raugerinne-Beckenpässe: 
   heff ≥  4 • HFisch</t>
        </r>
        <r>
          <rPr>
            <sz val="9"/>
            <color indexed="81"/>
            <rFont val="Tahoma"/>
            <family val="2"/>
          </rPr>
          <t xml:space="preserve">
</t>
        </r>
      </text>
    </comment>
    <comment ref="R24" authorId="0" shapeId="0" xr:uid="{00000000-0006-0000-0500-000021000000}">
      <text>
        <r>
          <rPr>
            <b/>
            <sz val="8"/>
            <color indexed="81"/>
            <rFont val="Tahoma"/>
            <family val="2"/>
          </rPr>
          <t xml:space="preserve">Laut DVWK 1996 soll schießender Abfluss vermieden werden, d.h. hu &gt; hgr (Grenztiefe) sein. Für Schlitzpässe fordert M509, dass hu&gt; hgr. ist. Da hydraulisch ähnliche Verhältnisse auch z.B. in Raugerinne-Beckenpässen bestehen, wird die Prüfung hier ebenfalls durchgeführt. In jedem Fall sollte besonders darauf geachtet werden, eine  in Fließrichtung sehr kurze "Schlitzschwelle" (z.B. oben spitz zulaufend) einzubauen.
Die Prüfung wird getrennt für die Schlitzschwelle und den Schlitzbereich ohne Schwelle durchgeführt.      
"Okay": Bedingung auf ganzer Bereite eingehalten. "tlw. okay": Bedingung auf Teilbreite (Schlitzschwelle oder Bereich ohne Schlirtzschwelle) eingehalten.
</t>
        </r>
      </text>
    </comment>
    <comment ref="S24" authorId="0" shapeId="0" xr:uid="{00000000-0006-0000-0500-000022000000}">
      <text>
        <r>
          <rPr>
            <b/>
            <sz val="8"/>
            <color indexed="81"/>
            <rFont val="Tahoma"/>
            <family val="2"/>
          </rPr>
          <t>Siehe Bemessungswerte aus DWA M509 (siehe Tabellenblatt) für die zulässige planerische Wasserspiegeldifferenz.</t>
        </r>
      </text>
    </comment>
    <comment ref="T24" authorId="0" shapeId="0" xr:uid="{00000000-0006-0000-0500-000023000000}">
      <text>
        <r>
          <rPr>
            <b/>
            <sz val="10"/>
            <color indexed="81"/>
            <rFont val="Tahoma"/>
            <family val="2"/>
          </rPr>
          <t>Der Wert wird über eine aus den Grafiken des DVWK-Merkblatts 232 entwickelte Funktion berechnet.</t>
        </r>
        <r>
          <rPr>
            <b/>
            <sz val="8"/>
            <color indexed="81"/>
            <rFont val="Tahoma"/>
            <family val="2"/>
          </rPr>
          <t xml:space="preserve">
</t>
        </r>
        <r>
          <rPr>
            <b/>
            <sz val="12"/>
            <color indexed="81"/>
            <rFont val="Tahoma"/>
            <family val="2"/>
          </rPr>
          <t xml:space="preserve">Hier wurde die neue Formel für </t>
        </r>
        <r>
          <rPr>
            <b/>
            <sz val="12"/>
            <color indexed="81"/>
            <rFont val="Symbol"/>
            <family val="1"/>
            <charset val="2"/>
          </rPr>
          <t>s</t>
        </r>
        <r>
          <rPr>
            <b/>
            <sz val="12"/>
            <color indexed="81"/>
            <rFont val="Tahoma"/>
            <family val="2"/>
          </rPr>
          <t xml:space="preserve"> aus DWA M509(Entwurf) eingesetzt.</t>
        </r>
      </text>
    </comment>
    <comment ref="V24" authorId="0" shapeId="0" xr:uid="{00000000-0006-0000-0500-000024000000}">
      <text>
        <r>
          <rPr>
            <b/>
            <sz val="10"/>
            <color indexed="81"/>
            <rFont val="Tahoma"/>
            <family val="2"/>
          </rPr>
          <t>Die Wassermenge, die über die Riegelkrone überfällt, wird abhängig von Unter- und Oberwasserstand gesondert berechnet.</t>
        </r>
        <r>
          <rPr>
            <sz val="8"/>
            <color indexed="81"/>
            <rFont val="Tahoma"/>
            <family val="2"/>
          </rPr>
          <t xml:space="preserve">
</t>
        </r>
      </text>
    </comment>
    <comment ref="W24" authorId="0" shapeId="0" xr:uid="{00000000-0006-0000-0500-000025000000}">
      <text>
        <r>
          <rPr>
            <b/>
            <sz val="10"/>
            <color indexed="81"/>
            <rFont val="Tahoma"/>
            <family val="2"/>
          </rPr>
          <t>Der Gesamtabfluss muss zur Berechnung der Anlage an jedem Riegel die gleiche Höhe aufweisen. Er setzt sich aus dem Abfluss durch den/die Schlitze und dem Überfall über die Riegelkronen zusammen.</t>
        </r>
      </text>
    </comment>
    <comment ref="X24" authorId="0" shapeId="0" xr:uid="{00000000-0006-0000-0500-000026000000}">
      <text>
        <r>
          <rPr>
            <b/>
            <sz val="8"/>
            <color indexed="81"/>
            <rFont val="Tahoma"/>
            <family val="2"/>
          </rPr>
          <t xml:space="preserve">
Vmax=  √(2g</t>
        </r>
        <r>
          <rPr>
            <b/>
            <sz val="8"/>
            <color indexed="81"/>
            <rFont val="Symbol"/>
            <family val="1"/>
            <charset val="2"/>
          </rPr>
          <t>D</t>
        </r>
        <r>
          <rPr>
            <b/>
            <sz val="8"/>
            <color indexed="81"/>
            <rFont val="Tahoma"/>
            <family val="2"/>
          </rPr>
          <t>h) Der Wert am untersten Schlitz ist gleich der Leitströmung der Anlage, wenn der unterste Riegel günstig positioniert ist.</t>
        </r>
        <r>
          <rPr>
            <sz val="8"/>
            <color indexed="81"/>
            <rFont val="Tahoma"/>
            <family val="2"/>
          </rPr>
          <t xml:space="preserve">
</t>
        </r>
      </text>
    </comment>
    <comment ref="Y24" authorId="0" shapeId="0" xr:uid="{00000000-0006-0000-0500-000027000000}">
      <text>
        <r>
          <rPr>
            <b/>
            <sz val="8"/>
            <color indexed="81"/>
            <rFont val="Tahoma"/>
            <family val="2"/>
          </rPr>
          <t>hier kann für jedes Becken eine andere Sohlbreite eingegeben werden</t>
        </r>
        <r>
          <rPr>
            <sz val="8"/>
            <color indexed="81"/>
            <rFont val="Tahoma"/>
            <family val="2"/>
          </rPr>
          <t xml:space="preserve">
</t>
        </r>
      </text>
    </comment>
    <comment ref="Z24" authorId="0" shapeId="0" xr:uid="{00000000-0006-0000-0500-000028000000}">
      <text>
        <r>
          <rPr>
            <b/>
            <sz val="8"/>
            <color indexed="81"/>
            <rFont val="Tahoma"/>
            <family val="2"/>
          </rPr>
          <t>hier kann für jedes Becken eine andere rechte Böschungsneigung eingegeben werden.</t>
        </r>
        <r>
          <rPr>
            <sz val="8"/>
            <color indexed="81"/>
            <rFont val="Tahoma"/>
            <family val="2"/>
          </rPr>
          <t xml:space="preserve">
</t>
        </r>
      </text>
    </comment>
    <comment ref="AA24" authorId="0" shapeId="0" xr:uid="{00000000-0006-0000-0500-000029000000}">
      <text>
        <r>
          <rPr>
            <b/>
            <sz val="8"/>
            <color indexed="81"/>
            <rFont val="Tahoma"/>
            <family val="2"/>
          </rPr>
          <t>hier kann für jedes Becken eine andere linke Böschungsneigung eingegeben werden.</t>
        </r>
        <r>
          <rPr>
            <sz val="8"/>
            <color indexed="81"/>
            <rFont val="Tahoma"/>
            <family val="2"/>
          </rPr>
          <t xml:space="preserve">
</t>
        </r>
      </text>
    </comment>
    <comment ref="AB24" authorId="0" shapeId="0" xr:uid="{00000000-0006-0000-0500-00002A000000}">
      <text>
        <r>
          <rPr>
            <b/>
            <sz val="9"/>
            <color indexed="81"/>
            <rFont val="Tahoma"/>
            <family val="2"/>
          </rPr>
          <t>Hier wird die Breite direkt unterhalb des Riegels und auf dessen OK-Höhe angegeben.</t>
        </r>
        <r>
          <rPr>
            <sz val="9"/>
            <color indexed="81"/>
            <rFont val="Tahoma"/>
            <family val="2"/>
          </rPr>
          <t xml:space="preserve">
</t>
        </r>
      </text>
    </comment>
    <comment ref="AC24" authorId="0" shapeId="0" xr:uid="{00000000-0006-0000-0500-00002B000000}">
      <text>
        <r>
          <rPr>
            <b/>
            <sz val="8"/>
            <color indexed="81"/>
            <rFont val="Tahoma"/>
            <family val="2"/>
          </rPr>
          <t>Die volumenspezifische Leistung im Becken unterhalb der Trennwand soll einen bestimmten Wert nicht übersteigen.
Der Wert ist abhängig von der Fischregion und beträgt nach DVWK-Merkblatt 150 W/m3 im Potamal und 200 W/m3 in Forellen- und Äschenregion. Das "Handbuch Querbauwerke" (MUNLV NRW) nennt teilweise geringere Werte von 100 bis 200 W/m3.</t>
        </r>
        <r>
          <rPr>
            <sz val="8"/>
            <color indexed="81"/>
            <rFont val="Tahoma"/>
            <family val="2"/>
          </rPr>
          <t xml:space="preserve">
</t>
        </r>
      </text>
    </comment>
    <comment ref="AD24" authorId="0" shapeId="0" xr:uid="{00000000-0006-0000-0500-00002C000000}">
      <text>
        <r>
          <rPr>
            <b/>
            <sz val="8"/>
            <color indexed="81"/>
            <rFont val="Tahoma"/>
            <family val="2"/>
          </rPr>
          <t>Nach DVWK 1996 und Handbuch Querbauwerke sollten bestimmte Wassertiefen nicht unterschritten werden. Das Handbuch Querbauwerke nennt auch "hu" als relevanten Wert. Dieser ergibt sich als Summe aus aus hu und Höhe einer evtl. Schlitzschwelle.</t>
        </r>
      </text>
    </comment>
    <comment ref="AE24" authorId="0" shapeId="0" xr:uid="{00000000-0006-0000-0500-00002D000000}">
      <text>
        <r>
          <rPr>
            <b/>
            <sz val="8"/>
            <color indexed="81"/>
            <rFont val="Tahoma"/>
            <family val="2"/>
          </rPr>
          <t xml:space="preserve">hier wird auch auch die angegebene Böschungsneigung berücksichtigt </t>
        </r>
        <r>
          <rPr>
            <sz val="8"/>
            <color indexed="81"/>
            <rFont val="Tahoma"/>
            <family val="2"/>
          </rPr>
          <t xml:space="preserve">
</t>
        </r>
      </text>
    </comment>
    <comment ref="AF24" authorId="0" shapeId="0" xr:uid="{00000000-0006-0000-0500-00002E000000}">
      <text>
        <r>
          <rPr>
            <b/>
            <sz val="8"/>
            <color indexed="81"/>
            <rFont val="Tahoma"/>
            <family val="2"/>
          </rPr>
          <t>Siehe Vorgaben DWA M509 für die Mindestbeckenlänge. Sind u.a. von der größten zu berücksichtigenden Fischart abhängig.
Die Werte können z.B. bei geringen Abweichungen von Hand überschrieben werden. Dann erfolgt aber keine weitere Anpassung bei Änderung der Gesamtlänge der Anlage. Die Berechnung geht jedoch von einem gleichmäßigen Sohlgefälle aus, so dass sich bei langen Becken im oberen Bereich geringe Wassertiefen etc. einstellen. Die Sohlhöhen müssen daher ebenfalls angepasst werden.</t>
        </r>
        <r>
          <rPr>
            <sz val="8"/>
            <color indexed="81"/>
            <rFont val="Tahoma"/>
            <family val="2"/>
          </rPr>
          <t xml:space="preserve">
</t>
        </r>
      </text>
    </comment>
    <comment ref="AG24" authorId="0" shapeId="0" xr:uid="{00000000-0006-0000-0500-00002F000000}">
      <text>
        <r>
          <rPr>
            <b/>
            <sz val="8"/>
            <color indexed="81"/>
            <rFont val="Tahoma"/>
            <family val="2"/>
          </rPr>
          <t>Fließgeschwindigkeit bezogen auf den mittleren Fließquerschnitt des Beckens unterhalb des Riegels</t>
        </r>
      </text>
    </comment>
    <comment ref="AH24" authorId="0" shapeId="0" xr:uid="{00000000-0006-0000-0500-000030000000}">
      <text>
        <r>
          <rPr>
            <b/>
            <sz val="9"/>
            <color indexed="81"/>
            <rFont val="Tahoma"/>
            <family val="2"/>
          </rPr>
          <t>Laut Oertel et al. (2012) bzw. DWA M509 findet ein Beckenabfluss mit nahezu vollständiger Energieumwandlung nur bis zu einem Oberwasserniveau von ca. 1,5</t>
        </r>
        <r>
          <rPr>
            <b/>
            <sz val="9"/>
            <color indexed="81"/>
            <rFont val="Calibri"/>
            <family val="2"/>
          </rPr>
          <t> </t>
        </r>
        <r>
          <rPr>
            <b/>
            <sz val="9"/>
            <color indexed="81"/>
            <rFont val="Tahoma"/>
            <family val="2"/>
          </rPr>
          <t>• Riegelhöhe statt.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600-000001000000}">
      <text>
        <r>
          <rPr>
            <b/>
            <sz val="9"/>
            <color indexed="81"/>
            <rFont val="Tahoma"/>
            <family val="2"/>
          </rPr>
          <t>Länge incl. aller Trennwände eingeben</t>
        </r>
        <r>
          <rPr>
            <sz val="9"/>
            <color indexed="81"/>
            <rFont val="Tahoma"/>
            <family val="2"/>
          </rPr>
          <t xml:space="preserve">
</t>
        </r>
      </text>
    </comment>
    <comment ref="F10" authorId="0" shapeId="0" xr:uid="{00000000-0006-0000-0600-000002000000}">
      <text>
        <r>
          <rPr>
            <b/>
            <sz val="9"/>
            <color indexed="81"/>
            <rFont val="Tahoma"/>
            <family val="2"/>
          </rPr>
          <t>Sohllage direkt oberhalb der obersten Trennwand</t>
        </r>
        <r>
          <rPr>
            <sz val="9"/>
            <color indexed="81"/>
            <rFont val="Tahoma"/>
            <family val="2"/>
          </rPr>
          <t xml:space="preserve">
</t>
        </r>
      </text>
    </comment>
    <comment ref="F11" authorId="0" shapeId="0" xr:uid="{00000000-0006-0000-0600-000003000000}">
      <text>
        <r>
          <rPr>
            <b/>
            <sz val="9"/>
            <color indexed="81"/>
            <rFont val="Tahoma"/>
            <family val="2"/>
          </rPr>
          <t>Sohllage direkt unterhalb der untersten Trennwand</t>
        </r>
        <r>
          <rPr>
            <sz val="9"/>
            <color indexed="81"/>
            <rFont val="Tahoma"/>
            <family val="2"/>
          </rPr>
          <t xml:space="preserve">
</t>
        </r>
      </text>
    </comment>
    <comment ref="S14" authorId="0" shapeId="0" xr:uid="{00000000-0006-0000-0600-000004000000}">
      <text>
        <r>
          <rPr>
            <b/>
            <sz val="9"/>
            <color indexed="81"/>
            <rFont val="Tahoma"/>
            <family val="2"/>
          </rPr>
          <t>Gemeint ist die Beckenlänge incl. einer Trennwanddicke. In Abhängigkeit von der Schlitzweite und gemäß Tabelle 44 in DWA M509. Zur Ermittlung der zulässigen Schlitzweite ist der Bemessungsfisch relevant.</t>
        </r>
        <r>
          <rPr>
            <sz val="9"/>
            <color indexed="81"/>
            <rFont val="Tahoma"/>
            <family val="2"/>
          </rPr>
          <t xml:space="preserve">
</t>
        </r>
      </text>
    </comment>
    <comment ref="S15" authorId="0" shapeId="0" xr:uid="{00000000-0006-0000-0600-000005000000}">
      <text>
        <r>
          <rPr>
            <b/>
            <sz val="9"/>
            <color indexed="81"/>
            <rFont val="Tahoma"/>
            <family val="2"/>
          </rPr>
          <t xml:space="preserve"> B ≈ L • 0,75</t>
        </r>
        <r>
          <rPr>
            <sz val="9"/>
            <color indexed="81"/>
            <rFont val="Tahoma"/>
            <family val="2"/>
          </rPr>
          <t xml:space="preserve">
</t>
        </r>
      </text>
    </comment>
    <comment ref="A20" authorId="0" shapeId="0" xr:uid="{00000000-0006-0000-0600-000006000000}">
      <text>
        <r>
          <rPr>
            <b/>
            <sz val="8"/>
            <color indexed="81"/>
            <rFont val="Tahoma"/>
            <family val="2"/>
          </rPr>
          <t>Trennwand Nr. 1 ist die unterste Trennwand</t>
        </r>
        <r>
          <rPr>
            <sz val="8"/>
            <color indexed="81"/>
            <rFont val="Tahoma"/>
            <family val="2"/>
          </rPr>
          <t xml:space="preserve">
</t>
        </r>
      </text>
    </comment>
    <comment ref="B20" authorId="0" shapeId="0" xr:uid="{00000000-0006-0000-0600-000007000000}">
      <text>
        <r>
          <rPr>
            <b/>
            <sz val="8"/>
            <color indexed="81"/>
            <rFont val="Tahoma"/>
            <family val="2"/>
          </rPr>
          <t>Als Station wird vom Unterwasser aus betrachtet die Vorderkante der jew. Trennwand angegeben.</t>
        </r>
      </text>
    </comment>
    <comment ref="C20" authorId="0" shapeId="0" xr:uid="{00000000-0006-0000-0600-000008000000}">
      <text>
        <r>
          <rPr>
            <b/>
            <sz val="8"/>
            <color indexed="81"/>
            <rFont val="Tahoma"/>
            <family val="2"/>
          </rPr>
          <t>Hier wird die Sohlhöhe an der Oberwasserseite der Trennwand angegeben.</t>
        </r>
      </text>
    </comment>
    <comment ref="D20" authorId="0" shapeId="0" xr:uid="{00000000-0006-0000-0600-000009000000}">
      <text>
        <r>
          <rPr>
            <b/>
            <sz val="8"/>
            <color indexed="81"/>
            <rFont val="Tahoma"/>
            <family val="2"/>
          </rPr>
          <t>Hier wird die Sohlhöhe an der Unterwasserseite der Trennwand angegeben.</t>
        </r>
      </text>
    </comment>
    <comment ref="E20" authorId="0" shapeId="0" xr:uid="{00000000-0006-0000-0600-00000A000000}">
      <text>
        <r>
          <rPr>
            <b/>
            <sz val="8"/>
            <color indexed="81"/>
            <rFont val="Tahoma"/>
            <family val="2"/>
          </rPr>
          <t>Höhenlage der Oberkante der Trennwand</t>
        </r>
        <r>
          <rPr>
            <sz val="8"/>
            <color indexed="81"/>
            <rFont val="Tahoma"/>
            <family val="2"/>
          </rPr>
          <t xml:space="preserve">
</t>
        </r>
      </text>
    </comment>
    <comment ref="F20" authorId="0" shapeId="0" xr:uid="{00000000-0006-0000-0600-00000B000000}">
      <text>
        <r>
          <rPr>
            <b/>
            <sz val="8"/>
            <color indexed="81"/>
            <rFont val="Tahoma"/>
            <family val="2"/>
          </rPr>
          <t xml:space="preserve">Wasserspiegelniveau oberhalb der Trennwand </t>
        </r>
      </text>
    </comment>
    <comment ref="G20" authorId="0" shapeId="0" xr:uid="{00000000-0006-0000-0600-00000C000000}">
      <text>
        <r>
          <rPr>
            <b/>
            <sz val="8"/>
            <color indexed="81"/>
            <rFont val="Tahoma"/>
            <family val="2"/>
          </rPr>
          <t xml:space="preserve">Wasserspiegelniveau unterhalb der Trennwand </t>
        </r>
        <r>
          <rPr>
            <sz val="8"/>
            <color indexed="81"/>
            <rFont val="Tahoma"/>
            <family val="2"/>
          </rPr>
          <t xml:space="preserve">
</t>
        </r>
      </text>
    </comment>
    <comment ref="H20" authorId="0" shapeId="0" xr:uid="{00000000-0006-0000-0600-00000D000000}">
      <text>
        <r>
          <rPr>
            <b/>
            <sz val="8"/>
            <color indexed="81"/>
            <rFont val="Tahoma"/>
            <family val="2"/>
          </rPr>
          <t>Differenz zwischen WSP OW und Sohlhöhe oberhalb der Trennwand</t>
        </r>
        <r>
          <rPr>
            <sz val="8"/>
            <color indexed="81"/>
            <rFont val="Tahoma"/>
            <family val="2"/>
          </rPr>
          <t xml:space="preserve">
</t>
        </r>
      </text>
    </comment>
    <comment ref="I20" authorId="0" shapeId="0" xr:uid="{00000000-0006-0000-0600-00000E000000}">
      <text>
        <r>
          <rPr>
            <b/>
            <sz val="8"/>
            <color indexed="81"/>
            <rFont val="Tahoma"/>
            <family val="2"/>
          </rPr>
          <t xml:space="preserve">Differenz zwischen WSP UW und Sohlhöhe unterhalb der Trennwand. </t>
        </r>
        <r>
          <rPr>
            <sz val="8"/>
            <color indexed="81"/>
            <rFont val="Tahoma"/>
            <family val="2"/>
          </rPr>
          <t xml:space="preserve">
</t>
        </r>
        <r>
          <rPr>
            <b/>
            <sz val="8"/>
            <color indexed="81"/>
            <rFont val="Tahoma"/>
            <family val="2"/>
          </rPr>
          <t>Soll gemäß DWA M509  0,5 m nicht unterschreiten.Soll bei beckenartigen Fischaufstiegsanlagen zudem 4-5 H</t>
        </r>
        <r>
          <rPr>
            <b/>
            <vertAlign val="subscript"/>
            <sz val="11"/>
            <color indexed="81"/>
            <rFont val="Tahoma"/>
            <family val="2"/>
          </rPr>
          <t>Fisch</t>
        </r>
        <r>
          <rPr>
            <b/>
            <sz val="8"/>
            <color indexed="81"/>
            <rFont val="Tahoma"/>
            <family val="2"/>
          </rPr>
          <t xml:space="preserve"> nicht unterschreiten (siehe 4.6.3.2, S.119).</t>
        </r>
      </text>
    </comment>
    <comment ref="K20" authorId="0" shapeId="0" xr:uid="{00000000-0006-0000-0600-00000F000000}">
      <text>
        <r>
          <rPr>
            <b/>
            <sz val="8"/>
            <color indexed="81"/>
            <rFont val="Tahoma"/>
            <family val="2"/>
          </rPr>
          <t>Laut DWA M509 (siehe auch Larinier) soll bei Schlitzpässen schießender Abfluss vermieden werden, d.h. hu &gt; hgr (Grenztiefe) sein.</t>
        </r>
      </text>
    </comment>
    <comment ref="M20" authorId="0" shapeId="0" xr:uid="{00000000-0006-0000-0600-000010000000}">
      <text>
        <r>
          <rPr>
            <b/>
            <sz val="8"/>
            <color indexed="81"/>
            <rFont val="Tahoma"/>
            <family val="2"/>
          </rPr>
          <t xml:space="preserve">Siehe Bemessungswerte aus DWA M509 (siehe Tabellenblatt) für die zulässige planerische Wasserspiegeldifferenz.
</t>
        </r>
      </text>
    </comment>
    <comment ref="N20" authorId="0" shapeId="0" xr:uid="{00000000-0006-0000-0600-000011000000}">
      <text>
        <r>
          <rPr>
            <b/>
            <sz val="9"/>
            <color indexed="81"/>
            <rFont val="Tahoma"/>
            <family val="2"/>
          </rPr>
          <t>Dass sich bei b geringere Abflüsse als bei a einstellen, obwohl tendenziell von gegenüber a erhöhten Anströmgeschwin-digkeiten am Schlitz auszugehen ist, scheint nur bei Ablösungen im Schlitz (siehe z.B. M509 Bild 121) erklärbar.
Der Autor empfiehlt daher bis auf Weiteres des Ansatz für "a" auch für strömungsstabile Ausprägungen zu verwenden.</t>
        </r>
        <r>
          <rPr>
            <sz val="9"/>
            <color indexed="81"/>
            <rFont val="Tahoma"/>
            <family val="2"/>
          </rPr>
          <t xml:space="preserve">
Die von den Autoren des M509 gefundenen starken Unterschiede im Abfluss bei strömungsstabiler und strömungsdissipierender Strahlausbildung wurden auch bei genaueren Strömungssimulationen im KIT Karlsruhe nicht gefunden (Musall, mündl. Mitteilung, 07/2014). Dort wurden Abflussabweichungen allenfalls in Höhe von 5-10 % festgestellt, die aber keiner Strömungsausprägung zuzuordnen waren und allenfalls vermehrt bei einer Übergangsform von a und b auftraten.
Erhöhte Anströmgeschwindigkeiten bei der strömungsstabilen Ausprägung traten bei den im KIT durchgeführten Simulationen nicht auf.</t>
        </r>
      </text>
    </comment>
    <comment ref="O20" authorId="0" shapeId="0" xr:uid="{00000000-0006-0000-0600-000012000000}">
      <text>
        <r>
          <rPr>
            <b/>
            <sz val="10"/>
            <color indexed="81"/>
            <rFont val="Tahoma"/>
            <family val="2"/>
          </rPr>
          <t xml:space="preserve">Der Wert wird über eine Funktion (Gleichung 7.15) des M509 (Entwurf) in Abhängigkeit von ho und hu  berechnet. 
Wird (hu/ho) </t>
        </r>
        <r>
          <rPr>
            <b/>
            <sz val="12"/>
            <color indexed="81"/>
            <rFont val="Calibri"/>
            <family val="2"/>
          </rPr>
          <t>≥</t>
        </r>
        <r>
          <rPr>
            <b/>
            <sz val="8"/>
            <color indexed="81"/>
            <rFont val="Tahoma"/>
            <family val="2"/>
          </rPr>
          <t xml:space="preserve"> </t>
        </r>
        <r>
          <rPr>
            <b/>
            <sz val="10"/>
            <color indexed="81"/>
            <rFont val="Tahoma"/>
            <family val="2"/>
          </rPr>
          <t>0,98 so wird eine Formel verwendet, die den Funktionsverlauf des Bilds 230 (S.212) des DWA M 509 (Entwurf) nachbildet. Bei großen Anlagen mit temporär hohen Unterwasserständen sollten ggf. genauere hydraulische Untersuchungen zur Beschreibung der Situation erfolgen.</t>
        </r>
      </text>
    </comment>
    <comment ref="P20" authorId="0" shapeId="0" xr:uid="{00000000-0006-0000-0600-000013000000}">
      <text>
        <r>
          <rPr>
            <b/>
            <sz val="8"/>
            <color indexed="81"/>
            <rFont val="Tahoma"/>
            <family val="2"/>
          </rPr>
          <t>Der Abfluss muss zur Berechnung der Anlage an jeder Trennwand den gleichen Wert aufweisen.</t>
        </r>
        <r>
          <rPr>
            <sz val="8"/>
            <color indexed="81"/>
            <rFont val="Tahoma"/>
            <family val="2"/>
          </rPr>
          <t xml:space="preserve">
</t>
        </r>
      </text>
    </comment>
    <comment ref="Q20" authorId="0" shapeId="0" xr:uid="{00000000-0006-0000-0600-000014000000}">
      <text>
        <r>
          <rPr>
            <b/>
            <sz val="8"/>
            <color indexed="81"/>
            <rFont val="Tahoma"/>
            <family val="2"/>
          </rPr>
          <t>Vmax=  √(2g</t>
        </r>
        <r>
          <rPr>
            <b/>
            <sz val="8"/>
            <color indexed="81"/>
            <rFont val="Symbol"/>
            <family val="1"/>
            <charset val="2"/>
          </rPr>
          <t>D</t>
        </r>
        <r>
          <rPr>
            <b/>
            <sz val="8"/>
            <color indexed="81"/>
            <rFont val="Tahoma"/>
            <family val="2"/>
          </rPr>
          <t>h) Der Wert am untersten Schlitz ist gleich der Leitströmung der Anlage, wenn die unterste Trennwand günstig positioniert ist.</t>
        </r>
        <r>
          <rPr>
            <sz val="8"/>
            <color indexed="81"/>
            <rFont val="Tahoma"/>
            <family val="2"/>
          </rPr>
          <t xml:space="preserve">
</t>
        </r>
        <r>
          <rPr>
            <b/>
            <sz val="8"/>
            <color indexed="81"/>
            <rFont val="Tahoma"/>
            <family val="2"/>
          </rPr>
          <t>Nach Gebler (Diss. 1991) beträgt in Schlitzpässen die max. Fließgeschwindigkeit aufgrund von Verlusten nur Faktor 0,83 x vmax. nach DVWK 1995 (hier verwendet).</t>
        </r>
      </text>
    </comment>
    <comment ref="R20" authorId="0" shapeId="0" xr:uid="{00000000-0006-0000-0600-000015000000}">
      <text>
        <r>
          <rPr>
            <sz val="9"/>
            <color indexed="81"/>
            <rFont val="Tahoma"/>
            <family val="2"/>
          </rPr>
          <t xml:space="preserve">lt. M509 Gültigkeitsbereich:
1. hu/ho=0,5 bis 0,99
2. hu &gt; 2 • Schlitzbreite
</t>
        </r>
      </text>
    </comment>
    <comment ref="S20" authorId="0" shapeId="0" xr:uid="{00000000-0006-0000-0600-000016000000}">
      <text>
        <r>
          <rPr>
            <b/>
            <sz val="8"/>
            <color indexed="81"/>
            <rFont val="Tahoma"/>
            <family val="2"/>
          </rPr>
          <t xml:space="preserve">Die volumenspezifische Leistung im Becken unterhalb der Trennwand soll einen bestimmten Wert nicht übersteigen.
Der Wert ist abhängig von der Fischregion.
</t>
        </r>
      </text>
    </comment>
    <comment ref="T20" authorId="0" shapeId="0" xr:uid="{00000000-0006-0000-0600-000017000000}">
      <text>
        <r>
          <rPr>
            <b/>
            <sz val="8"/>
            <color indexed="81"/>
            <rFont val="Tahoma"/>
            <family val="2"/>
          </rPr>
          <t>M509, S.119 fordert 4-5 Hfisch in beckenartigen Fischaufstiegsanlagen   als heff (d.h. über den Spitzen der Stützsteine).</t>
        </r>
      </text>
    </comment>
    <comment ref="U20" authorId="0" shapeId="0" xr:uid="{00000000-0006-0000-0600-000018000000}">
      <text>
        <r>
          <rPr>
            <b/>
            <sz val="8"/>
            <color indexed="81"/>
            <rFont val="Tahoma"/>
            <family val="2"/>
          </rPr>
          <t>Nach DVWK 1996 und Handbuch Querbauwerke sollten bestimmte Werte nicht unterschritten werden. Die Werte können z.B. bei geringen Abweichungen von Hand überschrieben werden. Dann erfolgt aber keine weitere Anpassung bei Änderung der Gesamtlänge der Anlage. Die Berechnung geht jedoch von einem gleichmäßigen Sohlgefälle aus, so dass sich bei langen Becken im oberen Bereich geringe Wassertiefen etc. einstellen. Achtung: hier wird im Gegensatz zum DVWK-Merkblatt die lichte Beckenlänge (ohne Trennwand) errechnet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5" authorId="0" shapeId="0" xr:uid="{00000000-0006-0000-0700-000001000000}">
      <text>
        <r>
          <rPr>
            <b/>
            <sz val="9"/>
            <color indexed="81"/>
            <rFont val="Tahoma"/>
            <family val="2"/>
          </rPr>
          <t>M509:
B</t>
        </r>
        <r>
          <rPr>
            <b/>
            <vertAlign val="subscript"/>
            <sz val="11"/>
            <color indexed="81"/>
            <rFont val="Tahoma"/>
            <family val="2"/>
          </rPr>
          <t>min</t>
        </r>
        <r>
          <rPr>
            <b/>
            <sz val="9"/>
            <color indexed="81"/>
            <rFont val="Tahoma"/>
            <family val="2"/>
          </rPr>
          <t xml:space="preserve"> </t>
        </r>
        <r>
          <rPr>
            <b/>
            <sz val="9"/>
            <color indexed="81"/>
            <rFont val="Calibri"/>
            <family val="2"/>
          </rPr>
          <t>≥</t>
        </r>
        <r>
          <rPr>
            <b/>
            <sz val="8.1"/>
            <color indexed="81"/>
            <rFont val="Tahoma"/>
            <family val="2"/>
          </rPr>
          <t xml:space="preserve"> 4,5 • B</t>
        </r>
        <r>
          <rPr>
            <b/>
            <vertAlign val="subscript"/>
            <sz val="11"/>
            <color indexed="81"/>
            <rFont val="Tahoma"/>
            <family val="2"/>
          </rPr>
          <t>Fisch</t>
        </r>
        <r>
          <rPr>
            <sz val="9"/>
            <color indexed="81"/>
            <rFont val="Tahoma"/>
            <family val="2"/>
          </rPr>
          <t xml:space="preserve">
</t>
        </r>
      </text>
    </comment>
    <comment ref="E18" authorId="0" shapeId="0" xr:uid="{00000000-0006-0000-0700-000002000000}">
      <text>
        <r>
          <rPr>
            <b/>
            <sz val="9"/>
            <color indexed="81"/>
            <rFont val="Tahoma"/>
            <family val="2"/>
          </rPr>
          <t xml:space="preserve">Autor:
Ab OK der Trennwände.
</t>
        </r>
        <r>
          <rPr>
            <sz val="9"/>
            <color indexed="81"/>
            <rFont val="Tahoma"/>
            <family val="2"/>
          </rPr>
          <t xml:space="preserve">
</t>
        </r>
      </text>
    </comment>
    <comment ref="F21" authorId="0" shapeId="0" xr:uid="{00000000-0006-0000-0700-000003000000}">
      <text>
        <r>
          <rPr>
            <b/>
            <sz val="8"/>
            <color indexed="81"/>
            <rFont val="Tahoma"/>
            <family val="2"/>
          </rPr>
          <t>Wert dient der Berechnung des Abminderungsfaktors "c" für den Einfluss des Unterwasserstands in Spalte H. Eingabewerte siehe weiter rechts.
Berechnung stellt eine Abweichung zum M509 dar, da der Abminderungsfaktor  "c" für den Abfluss über die Riegelkronen den Wert "</t>
        </r>
        <r>
          <rPr>
            <b/>
            <sz val="11"/>
            <color indexed="81"/>
            <rFont val="Symbol"/>
            <family val="1"/>
            <charset val="2"/>
          </rPr>
          <t>s</t>
        </r>
        <r>
          <rPr>
            <b/>
            <sz val="11"/>
            <color indexed="81"/>
            <rFont val="Tahoma"/>
            <family val="2"/>
          </rPr>
          <t>"</t>
        </r>
        <r>
          <rPr>
            <b/>
            <sz val="8"/>
            <color indexed="81"/>
            <rFont val="Tahoma"/>
            <family val="2"/>
          </rPr>
          <t xml:space="preserve"> ersetzt.</t>
        </r>
        <r>
          <rPr>
            <sz val="8"/>
            <color indexed="81"/>
            <rFont val="Tahoma"/>
            <family val="2"/>
          </rPr>
          <t xml:space="preserve">
</t>
        </r>
      </text>
    </comment>
    <comment ref="F24" authorId="0" shapeId="0" xr:uid="{00000000-0006-0000-0700-000004000000}">
      <text>
        <r>
          <rPr>
            <b/>
            <sz val="8"/>
            <color indexed="81"/>
            <rFont val="Tahoma"/>
            <family val="2"/>
          </rPr>
          <t>hier ist die Höhe der Überfallkante im  Kronenausschnitt gemeint</t>
        </r>
        <r>
          <rPr>
            <sz val="8"/>
            <color indexed="81"/>
            <rFont val="Tahoma"/>
            <family val="2"/>
          </rPr>
          <t xml:space="preserve">
</t>
        </r>
      </text>
    </comment>
    <comment ref="G24" authorId="0" shapeId="0" xr:uid="{00000000-0006-0000-0700-000005000000}">
      <text>
        <r>
          <rPr>
            <b/>
            <sz val="8"/>
            <color indexed="81"/>
            <rFont val="Tahoma"/>
            <family val="2"/>
          </rPr>
          <t>Überfallbeiwert im Kronenausschnitt</t>
        </r>
        <r>
          <rPr>
            <sz val="8"/>
            <color indexed="81"/>
            <rFont val="Tahoma"/>
            <family val="2"/>
          </rPr>
          <t xml:space="preserve">
</t>
        </r>
      </text>
    </comment>
    <comment ref="I24" authorId="0" shapeId="0" xr:uid="{00000000-0006-0000-0700-000006000000}">
      <text>
        <r>
          <rPr>
            <b/>
            <sz val="8"/>
            <color indexed="81"/>
            <rFont val="Tahoma"/>
            <family val="2"/>
          </rPr>
          <t>Abflussbeiwert der Schlupflöcher, Wert liegt im Bereich von 0,65 und 0,85.</t>
        </r>
        <r>
          <rPr>
            <sz val="8"/>
            <color indexed="81"/>
            <rFont val="Tahoma"/>
            <family val="2"/>
          </rPr>
          <t xml:space="preserve">
</t>
        </r>
      </text>
    </comment>
    <comment ref="M24" authorId="0" shapeId="0" xr:uid="{00000000-0006-0000-0700-000007000000}">
      <text>
        <r>
          <rPr>
            <b/>
            <sz val="9"/>
            <color indexed="81"/>
            <rFont val="Tahoma"/>
            <family val="2"/>
          </rPr>
          <t>M509, S.119 fordert 4-5 HFisch in beckenartigen Fischaufstiegsanlagen   als heff (d.h. über den Spitzen der Stützsteine).</t>
        </r>
      </text>
    </comment>
    <comment ref="N24" authorId="0" shapeId="0" xr:uid="{00000000-0006-0000-0700-000008000000}">
      <text>
        <r>
          <rPr>
            <b/>
            <sz val="9"/>
            <color indexed="81"/>
            <rFont val="Tahoma"/>
            <family val="2"/>
          </rPr>
          <t>Siehe Bemessungswerte aus DWA M509 (siehe Tabellenblatt) für die zulässige planerische Wasserspiegeldifferenz.</t>
        </r>
        <r>
          <rPr>
            <sz val="9"/>
            <color indexed="81"/>
            <rFont val="Tahoma"/>
            <family val="2"/>
          </rPr>
          <t xml:space="preserve">
</t>
        </r>
      </text>
    </comment>
    <comment ref="R24" authorId="0" shapeId="0" xr:uid="{00000000-0006-0000-0700-000009000000}">
      <text>
        <r>
          <rPr>
            <b/>
            <sz val="8"/>
            <color indexed="81"/>
            <rFont val="Tahoma"/>
            <family val="2"/>
          </rPr>
          <t xml:space="preserve">Eine Überströmung soll normalerweise unterbleiben. Hier wird ein Überfallbeiwert </t>
        </r>
        <r>
          <rPr>
            <b/>
            <sz val="10"/>
            <color indexed="81"/>
            <rFont val="Tahoma"/>
            <family val="2"/>
          </rPr>
          <t>μ</t>
        </r>
        <r>
          <rPr>
            <b/>
            <sz val="8"/>
            <color indexed="81"/>
            <rFont val="Tahoma"/>
            <family val="2"/>
          </rPr>
          <t xml:space="preserve"> von 0,6 angesetzt.</t>
        </r>
        <r>
          <rPr>
            <sz val="8"/>
            <color indexed="81"/>
            <rFont val="Tahoma"/>
            <family val="2"/>
          </rPr>
          <t xml:space="preserve">
</t>
        </r>
      </text>
    </comment>
    <comment ref="U24" authorId="0" shapeId="0" xr:uid="{00000000-0006-0000-0700-00000A000000}">
      <text>
        <r>
          <rPr>
            <b/>
            <sz val="8"/>
            <color indexed="81"/>
            <rFont val="Tahoma"/>
            <family val="2"/>
          </rPr>
          <t xml:space="preserve">Die volumenspezifische Leistung im Becken unterhalb der Trennwand soll einen bestimmten Wert nicht übersteigen.
Der Wert ist abhängig von der Fischregion.
</t>
        </r>
      </text>
    </comment>
    <comment ref="V24" authorId="0" shapeId="0" xr:uid="{00000000-0006-0000-0700-00000B000000}">
      <text>
        <r>
          <rPr>
            <b/>
            <sz val="9"/>
            <color indexed="81"/>
            <rFont val="Tahoma"/>
            <family val="2"/>
          </rPr>
          <t>M509, S.119 fordert 4-5 H</t>
        </r>
        <r>
          <rPr>
            <b/>
            <vertAlign val="subscript"/>
            <sz val="9"/>
            <color indexed="81"/>
            <rFont val="Tahoma"/>
            <family val="2"/>
          </rPr>
          <t>Fisch</t>
        </r>
        <r>
          <rPr>
            <b/>
            <sz val="9"/>
            <color indexed="81"/>
            <rFont val="Tahoma"/>
            <family val="2"/>
          </rPr>
          <t xml:space="preserve"> in beckenartigen Fischaufstiegsanlagen   als h</t>
        </r>
        <r>
          <rPr>
            <b/>
            <vertAlign val="subscript"/>
            <sz val="9"/>
            <color indexed="81"/>
            <rFont val="Tahoma"/>
            <family val="2"/>
          </rPr>
          <t>eff</t>
        </r>
        <r>
          <rPr>
            <b/>
            <sz val="9"/>
            <color indexed="81"/>
            <rFont val="Tahoma"/>
            <family val="2"/>
          </rPr>
          <t xml:space="preserve"> (d.h. über den Spitzen der Stützsteine).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28" authorId="0" shapeId="0" xr:uid="{98C99076-0F93-4507-AB66-716D3AA5587F}">
      <text>
        <r>
          <rPr>
            <b/>
            <sz val="9"/>
            <color indexed="81"/>
            <rFont val="Tahoma"/>
            <family val="2"/>
          </rPr>
          <t>Diese Prüfung ist auch im Beispiel in M509 (Weißdruck) nicht eingehalten.</t>
        </r>
        <r>
          <rPr>
            <sz val="9"/>
            <color indexed="81"/>
            <rFont val="Tahoma"/>
            <family val="2"/>
          </rPr>
          <t xml:space="preserve">
</t>
        </r>
      </text>
    </comment>
  </commentList>
</comments>
</file>

<file path=xl/sharedStrings.xml><?xml version="1.0" encoding="utf-8"?>
<sst xmlns="http://schemas.openxmlformats.org/spreadsheetml/2006/main" count="773" uniqueCount="438">
  <si>
    <t>Erläuterungen zur Berechnung von Riegelrampen, Becken- und Schlitzpässen mit den Tabellenblättern</t>
  </si>
  <si>
    <t>Hotline und Fehlermeldungen</t>
  </si>
  <si>
    <t>Mit der Verwendung dieser Software werden folgende Bestimmungen akzeptiert:</t>
  </si>
  <si>
    <t>1. DIESE SOFTWARE IST FREEWARE. JEDER DARF DIESE SOFTWARE, AUCH FÜR GEWERBLICHEN GEBRAUCH, KOSTENLOS EINSETZEN. EIN VERKAUF DIESER SOFTWARE AN DRITTE IST UNZULÄSSIG.</t>
  </si>
  <si>
    <t>3. KEINE HAFTUNG, KEINE HAFTUNG FÜR FOLGESCHÄDEN. SIE ÜBERNEHMEN DIE GESAMTEN KOSTEN FÜR SÄMTLICHE SCHÄDEN, DIE SICH AUS DER NUTZUNG DER SOFTWARE UND DER IN DER SOFTWARE ENTHALTENEN INFORMATIONEN ERGEBEN.</t>
  </si>
  <si>
    <t>Programmiert: Wolfgang Kleef, Regierungspräsidium Darmstadt</t>
  </si>
  <si>
    <t>Projekt:</t>
  </si>
  <si>
    <t>Variante:</t>
  </si>
  <si>
    <t>Planer:</t>
  </si>
  <si>
    <t>Eingabewerte:</t>
  </si>
  <si>
    <t>m</t>
  </si>
  <si>
    <t>Riegelmaterial</t>
  </si>
  <si>
    <t>Länge über alle Riegel [m]</t>
  </si>
  <si>
    <r>
      <t xml:space="preserve">Gesamt </t>
    </r>
    <r>
      <rPr>
        <sz val="10"/>
        <rFont val="Symbol"/>
        <family val="1"/>
        <charset val="2"/>
      </rPr>
      <t>D</t>
    </r>
    <r>
      <rPr>
        <sz val="10"/>
        <rFont val="Arial"/>
        <family val="2"/>
      </rPr>
      <t>h WSP [m]</t>
    </r>
  </si>
  <si>
    <t>0,5-0,6 (DVWK 232)</t>
  </si>
  <si>
    <t>breite, scharfkantige Steine, gebrochenes Material</t>
  </si>
  <si>
    <t>Anzahl Riegel [-]</t>
  </si>
  <si>
    <r>
      <t xml:space="preserve">durchschn. </t>
    </r>
    <r>
      <rPr>
        <sz val="10"/>
        <rFont val="Symbol"/>
        <family val="1"/>
        <charset val="2"/>
      </rPr>
      <t>D</t>
    </r>
    <r>
      <rPr>
        <sz val="10"/>
        <rFont val="Arial"/>
        <family val="2"/>
      </rPr>
      <t>h [m]</t>
    </r>
  </si>
  <si>
    <t>Sohle Oberwasser, gesamt [müNN]</t>
  </si>
  <si>
    <t>Neigung Rampensohle [m/m]</t>
  </si>
  <si>
    <t>═  1:</t>
  </si>
  <si>
    <t>0,6-0,8</t>
  </si>
  <si>
    <t>abgerundete Steine, z.B. Feldsteine</t>
  </si>
  <si>
    <t>Sohle Unterwasser, gesamt [müNN]</t>
  </si>
  <si>
    <t>WSP OW [müNN]</t>
  </si>
  <si>
    <t>WSP UW [müNN]</t>
  </si>
  <si>
    <t>Riegelhöhe [m]</t>
  </si>
  <si>
    <t>Leitströmung [m/s]:</t>
  </si>
  <si>
    <t>Summe Schlitzbreite je Riegel [m]</t>
  </si>
  <si>
    <r>
      <t xml:space="preserve">Faktor </t>
    </r>
    <r>
      <rPr>
        <b/>
        <sz val="11"/>
        <rFont val="Arial"/>
        <family val="2"/>
      </rPr>
      <t xml:space="preserve">f </t>
    </r>
    <r>
      <rPr>
        <b/>
        <sz val="10"/>
        <rFont val="Arial"/>
        <family val="2"/>
      </rPr>
      <t>für Spalt-</t>
    </r>
  </si>
  <si>
    <t>1,05-1,1 bei Riegelsteinen mit geraden Bruchflächen, gut aneinander gefügt</t>
  </si>
  <si>
    <t>Schwellehöhe im Schlitz [m]</t>
  </si>
  <si>
    <t xml:space="preserve">verluste am Riegel </t>
  </si>
  <si>
    <t>1,15-1,25 bei runden Riegelsteinen oder sehr unregelmäßigen Bruchkanten</t>
  </si>
  <si>
    <t>Breite der Schlitzschwelle [m]</t>
  </si>
  <si>
    <t>Dicke Riegel [m]</t>
  </si>
  <si>
    <t>Eingabefeld</t>
  </si>
  <si>
    <t>Gerinne, Sohlbreite [m]</t>
  </si>
  <si>
    <t>Ausgabefeld, keine Eingaben !!</t>
  </si>
  <si>
    <t>Mindestbreite des Wasserspiegels  [m]:</t>
  </si>
  <si>
    <r>
      <t xml:space="preserve">Böschungsneigung [h/b] </t>
    </r>
    <r>
      <rPr>
        <b/>
        <sz val="10"/>
        <rFont val="Arial"/>
        <family val="2"/>
      </rPr>
      <t>1:</t>
    </r>
  </si>
  <si>
    <t>Faktor Spaltverluste f</t>
  </si>
  <si>
    <t>Berechnungsergebnisse und Eingaben zum Riegel und den Verhältnissen am Riegel</t>
  </si>
  <si>
    <t>Werte im Becken unterh. Riegel</t>
  </si>
  <si>
    <t>Station [m]</t>
  </si>
  <si>
    <t>Sohl-höhe oberh. [müNN]</t>
  </si>
  <si>
    <t>Sohl-höhe unterh. [müNN]</t>
  </si>
  <si>
    <t>Riegel-krone [müNN]</t>
  </si>
  <si>
    <r>
      <t>m</t>
    </r>
    <r>
      <rPr>
        <b/>
        <sz val="12"/>
        <rFont val="Symbol"/>
        <family val="1"/>
        <charset val="2"/>
      </rPr>
      <t xml:space="preserve"> </t>
    </r>
    <r>
      <rPr>
        <b/>
        <sz val="10"/>
        <rFont val="Arial"/>
        <family val="2"/>
      </rPr>
      <t>Riegel-krone</t>
    </r>
  </si>
  <si>
    <t>OK Schlitz-schw-elle [mü NN]</t>
  </si>
  <si>
    <t>WSP OW [mü NN]</t>
  </si>
  <si>
    <t>WSP UW [mü NN]</t>
  </si>
  <si>
    <t>hü Schlitzschwelle [m]</t>
  </si>
  <si>
    <t>hü Schlitzsohle [m]</t>
  </si>
  <si>
    <t>hu Schlitzsohle [m]</t>
  </si>
  <si>
    <r>
      <t>Grenz-tiefe h</t>
    </r>
    <r>
      <rPr>
        <b/>
        <vertAlign val="subscript"/>
        <sz val="11"/>
        <rFont val="Arial"/>
        <family val="2"/>
      </rPr>
      <t>gr</t>
    </r>
    <r>
      <rPr>
        <b/>
        <sz val="10"/>
        <rFont val="Arial"/>
        <family val="2"/>
      </rPr>
      <t xml:space="preserve"> [m]</t>
    </r>
  </si>
  <si>
    <r>
      <t>h</t>
    </r>
    <r>
      <rPr>
        <b/>
        <vertAlign val="subscript"/>
        <sz val="11"/>
        <rFont val="Arial"/>
        <family val="2"/>
      </rPr>
      <t>u</t>
    </r>
    <r>
      <rPr>
        <b/>
        <sz val="10"/>
        <rFont val="Arial"/>
        <family val="2"/>
      </rPr>
      <t xml:space="preserve"> &gt; h</t>
    </r>
    <r>
      <rPr>
        <b/>
        <vertAlign val="subscript"/>
        <sz val="11"/>
        <rFont val="Arial"/>
        <family val="2"/>
      </rPr>
      <t>gr</t>
    </r>
    <r>
      <rPr>
        <b/>
        <sz val="10"/>
        <rFont val="Arial"/>
        <family val="2"/>
      </rPr>
      <t xml:space="preserve"> ?</t>
    </r>
  </si>
  <si>
    <r>
      <t>D</t>
    </r>
    <r>
      <rPr>
        <b/>
        <sz val="16"/>
        <rFont val="Arial"/>
        <family val="2"/>
      </rPr>
      <t>h [m]</t>
    </r>
  </si>
  <si>
    <r>
      <t xml:space="preserve">s </t>
    </r>
    <r>
      <rPr>
        <b/>
        <sz val="10"/>
        <rFont val="Arial"/>
        <family val="2"/>
      </rPr>
      <t>Schlitzschwelle</t>
    </r>
  </si>
  <si>
    <r>
      <t xml:space="preserve">s </t>
    </r>
    <r>
      <rPr>
        <b/>
        <sz val="10"/>
        <rFont val="Arial"/>
        <family val="2"/>
      </rPr>
      <t>Schlitzssohle</t>
    </r>
  </si>
  <si>
    <r>
      <t xml:space="preserve">s </t>
    </r>
    <r>
      <rPr>
        <b/>
        <sz val="10"/>
        <rFont val="Arial"/>
        <family val="2"/>
      </rPr>
      <t>Riegelkrone</t>
    </r>
  </si>
  <si>
    <r>
      <t>Q Über-fall Riegel-krone [m</t>
    </r>
    <r>
      <rPr>
        <b/>
        <vertAlign val="superscript"/>
        <sz val="10"/>
        <rFont val="Arial"/>
        <family val="2"/>
      </rPr>
      <t>3</t>
    </r>
    <r>
      <rPr>
        <b/>
        <sz val="10"/>
        <rFont val="Arial"/>
        <family val="2"/>
      </rPr>
      <t>/s]</t>
    </r>
  </si>
  <si>
    <r>
      <t>Qges [m</t>
    </r>
    <r>
      <rPr>
        <b/>
        <vertAlign val="superscript"/>
        <sz val="10"/>
        <rFont val="Arial"/>
        <family val="2"/>
      </rPr>
      <t>3</t>
    </r>
    <r>
      <rPr>
        <b/>
        <sz val="10"/>
        <rFont val="Arial"/>
        <family val="2"/>
      </rPr>
      <t>/s]</t>
    </r>
  </si>
  <si>
    <r>
      <t>v</t>
    </r>
    <r>
      <rPr>
        <b/>
        <vertAlign val="subscript"/>
        <sz val="12"/>
        <rFont val="Arial"/>
        <family val="2"/>
      </rPr>
      <t>max</t>
    </r>
    <r>
      <rPr>
        <b/>
        <sz val="10"/>
        <rFont val="Arial"/>
        <family val="2"/>
      </rPr>
      <t xml:space="preserve"> im Schl-itz [m/s]</t>
    </r>
  </si>
  <si>
    <r>
      <t>P</t>
    </r>
    <r>
      <rPr>
        <b/>
        <vertAlign val="subscript"/>
        <sz val="10"/>
        <rFont val="Arial"/>
        <family val="2"/>
      </rPr>
      <t>D</t>
    </r>
    <r>
      <rPr>
        <b/>
        <sz val="10"/>
        <rFont val="Arial"/>
        <family val="2"/>
      </rPr>
      <t xml:space="preserve"> [W /m</t>
    </r>
    <r>
      <rPr>
        <b/>
        <vertAlign val="superscript"/>
        <sz val="10"/>
        <rFont val="Arial"/>
        <family val="2"/>
      </rPr>
      <t>3</t>
    </r>
    <r>
      <rPr>
        <b/>
        <sz val="10"/>
        <rFont val="Arial"/>
        <family val="2"/>
      </rPr>
      <t>]</t>
    </r>
  </si>
  <si>
    <t>mittl. Was-ser-tiefe [m]</t>
  </si>
  <si>
    <r>
      <t>mittl. Fließ-quer-schnitt  [m</t>
    </r>
    <r>
      <rPr>
        <b/>
        <vertAlign val="superscript"/>
        <sz val="10"/>
        <rFont val="Arial"/>
        <family val="2"/>
      </rPr>
      <t>2</t>
    </r>
    <r>
      <rPr>
        <b/>
        <sz val="10"/>
        <rFont val="Arial"/>
        <family val="2"/>
      </rPr>
      <t>]</t>
    </r>
  </si>
  <si>
    <r>
      <t>v</t>
    </r>
    <r>
      <rPr>
        <b/>
        <vertAlign val="subscript"/>
        <sz val="12"/>
        <rFont val="Arial"/>
        <family val="2"/>
      </rPr>
      <t xml:space="preserve">m </t>
    </r>
    <r>
      <rPr>
        <b/>
        <sz val="10"/>
        <rFont val="Arial"/>
        <family val="2"/>
      </rPr>
      <t>im Bek-ken [m/s]</t>
    </r>
  </si>
  <si>
    <t>═ [%]:</t>
  </si>
  <si>
    <t>Form der Riegelkrone für Berechnung vollk./unvollk. Überfall:</t>
  </si>
  <si>
    <r>
      <t>n</t>
    </r>
    <r>
      <rPr>
        <sz val="10"/>
        <rFont val="Arial"/>
        <family val="2"/>
      </rPr>
      <t xml:space="preserve"> für Form der Riegelkrone:</t>
    </r>
  </si>
  <si>
    <t>Werte für das Becken unterhalb des Riegels</t>
  </si>
  <si>
    <t>Brei-te Rie-gel-kro-ne  [m]</t>
  </si>
  <si>
    <t>C    für unvoll-/vollk. Über-fall Riegel-krone</t>
  </si>
  <si>
    <t>OK Schlitz-schw-elle [müNN]</t>
  </si>
  <si>
    <r>
      <t>m</t>
    </r>
    <r>
      <rPr>
        <b/>
        <sz val="12"/>
        <rFont val="Symbol"/>
        <family val="1"/>
        <charset val="2"/>
      </rPr>
      <t xml:space="preserve"> </t>
    </r>
    <r>
      <rPr>
        <b/>
        <sz val="10"/>
        <rFont val="Arial"/>
        <family val="2"/>
      </rPr>
      <t>Schlitz-schw-elle</t>
    </r>
  </si>
  <si>
    <t>hü [m]</t>
  </si>
  <si>
    <t>hu [m]</t>
  </si>
  <si>
    <r>
      <t xml:space="preserve">s </t>
    </r>
    <r>
      <rPr>
        <b/>
        <sz val="10"/>
        <rFont val="Arial"/>
        <family val="2"/>
      </rPr>
      <t>Schlitzsohle</t>
    </r>
  </si>
  <si>
    <r>
      <t>v</t>
    </r>
    <r>
      <rPr>
        <b/>
        <vertAlign val="subscript"/>
        <sz val="12"/>
        <rFont val="Arial"/>
        <family val="2"/>
      </rPr>
      <t>max</t>
    </r>
    <r>
      <rPr>
        <b/>
        <sz val="10"/>
        <rFont val="Arial"/>
        <family val="2"/>
      </rPr>
      <t xml:space="preserve"> im Schlitz [m/s]</t>
    </r>
  </si>
  <si>
    <t>Gerin-ne, Sohl-breite Becken unterh. [m]</t>
  </si>
  <si>
    <r>
      <t>P</t>
    </r>
    <r>
      <rPr>
        <b/>
        <vertAlign val="subscript"/>
        <sz val="10"/>
        <rFont val="Arial"/>
        <family val="2"/>
      </rPr>
      <t>D</t>
    </r>
    <r>
      <rPr>
        <b/>
        <sz val="10"/>
        <rFont val="Arial"/>
        <family val="2"/>
      </rPr>
      <t xml:space="preserve"> [W/m</t>
    </r>
    <r>
      <rPr>
        <b/>
        <vertAlign val="superscript"/>
        <sz val="10"/>
        <rFont val="Arial"/>
        <family val="2"/>
      </rPr>
      <t>3</t>
    </r>
    <r>
      <rPr>
        <b/>
        <sz val="10"/>
        <rFont val="Arial"/>
        <family val="2"/>
      </rPr>
      <t>]</t>
    </r>
  </si>
  <si>
    <t>mittl. Was-sertiefe Becken unterh. [m]</t>
  </si>
  <si>
    <t>lichte Becken-länge [m]</t>
  </si>
  <si>
    <r>
      <t>v</t>
    </r>
    <r>
      <rPr>
        <b/>
        <vertAlign val="subscript"/>
        <sz val="12"/>
        <rFont val="Arial"/>
        <family val="2"/>
      </rPr>
      <t xml:space="preserve">m </t>
    </r>
    <r>
      <rPr>
        <b/>
        <sz val="10"/>
        <rFont val="Arial"/>
        <family val="2"/>
      </rPr>
      <t>im Becken [m/s]</t>
    </r>
  </si>
  <si>
    <t>Länge über alle Trennwände [m]</t>
  </si>
  <si>
    <t>Anzahl Trennwände [-]</t>
  </si>
  <si>
    <t>Neigung Sohle [m/m]</t>
  </si>
  <si>
    <t>═  [%]:</t>
  </si>
  <si>
    <t>Höhe d.Trennwände [m]</t>
  </si>
  <si>
    <t>Dicke d. Trennwände [m]</t>
  </si>
  <si>
    <t xml:space="preserve">Berechnungsergebnisse und Eingaben beziehen sich auf die Verhältnisse an der jeweiligen Trennwand  </t>
  </si>
  <si>
    <t>Werte zum Becken unterh.</t>
  </si>
  <si>
    <t>Trenn-wand-Nr v.oben (TW 1: unterste TW)</t>
  </si>
  <si>
    <t>Sohlhöhe oberh. [müNN]</t>
  </si>
  <si>
    <t>Sohlhöhe unterh. [müNN]</t>
  </si>
  <si>
    <t>OK Trenn-wand [müNN]</t>
  </si>
  <si>
    <r>
      <t>h</t>
    </r>
    <r>
      <rPr>
        <b/>
        <vertAlign val="subscript"/>
        <sz val="11"/>
        <rFont val="Arial"/>
        <family val="2"/>
      </rPr>
      <t>o</t>
    </r>
    <r>
      <rPr>
        <b/>
        <sz val="10"/>
        <rFont val="Arial"/>
        <family val="2"/>
      </rPr>
      <t xml:space="preserve"> [m]</t>
    </r>
  </si>
  <si>
    <r>
      <t>h</t>
    </r>
    <r>
      <rPr>
        <b/>
        <vertAlign val="subscript"/>
        <sz val="11"/>
        <rFont val="Arial"/>
        <family val="2"/>
      </rPr>
      <t>u</t>
    </r>
    <r>
      <rPr>
        <b/>
        <sz val="10"/>
        <rFont val="Arial"/>
        <family val="2"/>
      </rPr>
      <t xml:space="preserve"> [m]</t>
    </r>
  </si>
  <si>
    <t>Trenn-wand über-strömt?</t>
  </si>
  <si>
    <r>
      <t>Q [m</t>
    </r>
    <r>
      <rPr>
        <b/>
        <vertAlign val="superscript"/>
        <sz val="10"/>
        <rFont val="Arial"/>
        <family val="2"/>
      </rPr>
      <t>3</t>
    </r>
    <r>
      <rPr>
        <b/>
        <sz val="10"/>
        <rFont val="Arial"/>
        <family val="2"/>
      </rPr>
      <t>/s]</t>
    </r>
  </si>
  <si>
    <r>
      <t>v</t>
    </r>
    <r>
      <rPr>
        <b/>
        <vertAlign val="subscript"/>
        <sz val="11"/>
        <rFont val="Arial"/>
        <family val="2"/>
      </rPr>
      <t>max</t>
    </r>
    <r>
      <rPr>
        <b/>
        <sz val="10"/>
        <rFont val="Arial"/>
        <family val="2"/>
      </rPr>
      <t xml:space="preserve"> im Schlitz [m/s]</t>
    </r>
  </si>
  <si>
    <r>
      <t>P</t>
    </r>
    <r>
      <rPr>
        <b/>
        <vertAlign val="subscript"/>
        <sz val="10"/>
        <rFont val="Arial"/>
        <family val="2"/>
      </rPr>
      <t>D</t>
    </r>
    <r>
      <rPr>
        <b/>
        <sz val="10"/>
        <rFont val="Arial"/>
        <family val="2"/>
      </rPr>
      <t xml:space="preserve">  [W/m</t>
    </r>
    <r>
      <rPr>
        <b/>
        <vertAlign val="superscript"/>
        <sz val="10"/>
        <rFont val="Arial"/>
        <family val="2"/>
      </rPr>
      <t>3</t>
    </r>
    <r>
      <rPr>
        <b/>
        <sz val="10"/>
        <rFont val="Arial"/>
        <family val="2"/>
      </rPr>
      <t>]</t>
    </r>
  </si>
  <si>
    <t>mittl. Was-ser-tiefe  [m]</t>
  </si>
  <si>
    <r>
      <t xml:space="preserve">Gesamt </t>
    </r>
    <r>
      <rPr>
        <sz val="10"/>
        <rFont val="Symbol"/>
        <family val="1"/>
        <charset val="2"/>
      </rPr>
      <t>D</t>
    </r>
    <r>
      <rPr>
        <sz val="10"/>
        <rFont val="Arial"/>
        <family val="2"/>
      </rPr>
      <t>h WSP aus Vorgaben [m]</t>
    </r>
  </si>
  <si>
    <t>Ψ</t>
  </si>
  <si>
    <t>Abflussbeiwert Schlupflöcher: 0,65-0,85</t>
  </si>
  <si>
    <r>
      <t xml:space="preserve">Überfallbeiwert für Kronenausschnitte: </t>
    </r>
    <r>
      <rPr>
        <b/>
        <sz val="10"/>
        <rFont val="Arial"/>
        <family val="2"/>
      </rPr>
      <t>μ</t>
    </r>
    <r>
      <rPr>
        <sz val="10"/>
        <rFont val="Arial"/>
        <family val="2"/>
      </rPr>
      <t xml:space="preserve"> ~0,6</t>
    </r>
  </si>
  <si>
    <t>Neigung der Sohle [m/m]</t>
  </si>
  <si>
    <t>Höhe der Trennwände [m]</t>
  </si>
  <si>
    <t>Breite des Schlupflochs [m]</t>
  </si>
  <si>
    <t>Höhe des Schlupflochs [m]</t>
  </si>
  <si>
    <t>Breite des Kronenausschnitts [m]</t>
  </si>
  <si>
    <t>Dicke Trennwand [m]</t>
  </si>
  <si>
    <t>Beckenbreite [m]</t>
  </si>
  <si>
    <t>Trennwand-Nr v.oben (unter-ster R.: 1)</t>
  </si>
  <si>
    <t>OK Kronenaus-schnitt [müNN]</t>
  </si>
  <si>
    <r>
      <t>m</t>
    </r>
    <r>
      <rPr>
        <b/>
        <sz val="12"/>
        <rFont val="Symbol"/>
        <family val="1"/>
        <charset val="2"/>
      </rPr>
      <t xml:space="preserve"> </t>
    </r>
    <r>
      <rPr>
        <b/>
        <sz val="10"/>
        <rFont val="Arial"/>
        <family val="2"/>
      </rPr>
      <t>Kro-nen-aus-sch-nitt</t>
    </r>
  </si>
  <si>
    <r>
      <t>Ψ</t>
    </r>
    <r>
      <rPr>
        <b/>
        <sz val="12"/>
        <rFont val="Symbol"/>
        <family val="1"/>
        <charset val="2"/>
      </rPr>
      <t xml:space="preserve"> </t>
    </r>
    <r>
      <rPr>
        <b/>
        <sz val="10"/>
        <rFont val="Arial"/>
        <family val="2"/>
      </rPr>
      <t>Schl-upf-loch</t>
    </r>
  </si>
  <si>
    <r>
      <t>D</t>
    </r>
    <r>
      <rPr>
        <b/>
        <sz val="14"/>
        <rFont val="Arial"/>
        <family val="2"/>
      </rPr>
      <t>h [m]</t>
    </r>
  </si>
  <si>
    <r>
      <t>Q Schlupfloch [m</t>
    </r>
    <r>
      <rPr>
        <b/>
        <vertAlign val="superscript"/>
        <sz val="10"/>
        <rFont val="Arial"/>
        <family val="2"/>
      </rPr>
      <t>3</t>
    </r>
    <r>
      <rPr>
        <b/>
        <sz val="10"/>
        <rFont val="Arial"/>
        <family val="2"/>
      </rPr>
      <t>/s]</t>
    </r>
  </si>
  <si>
    <r>
      <t xml:space="preserve">s </t>
    </r>
    <r>
      <rPr>
        <b/>
        <sz val="10"/>
        <rFont val="Arial"/>
        <family val="2"/>
      </rPr>
      <t>Kro-nen-aus-sch-nitt</t>
    </r>
  </si>
  <si>
    <r>
      <t>Q Über-fall Kronenausschnitt [m</t>
    </r>
    <r>
      <rPr>
        <b/>
        <vertAlign val="superscript"/>
        <sz val="10"/>
        <rFont val="Arial"/>
        <family val="2"/>
      </rPr>
      <t>3</t>
    </r>
    <r>
      <rPr>
        <b/>
        <sz val="10"/>
        <rFont val="Arial"/>
        <family val="2"/>
      </rPr>
      <t>/s]</t>
    </r>
  </si>
  <si>
    <r>
      <t>Q Über-fall Trennwand,</t>
    </r>
    <r>
      <rPr>
        <b/>
        <sz val="10"/>
        <rFont val="Symbol"/>
        <family val="1"/>
        <charset val="2"/>
      </rPr>
      <t>m</t>
    </r>
    <r>
      <rPr>
        <b/>
        <sz val="10"/>
        <rFont val="Arial"/>
        <family val="2"/>
      </rPr>
      <t>=0,6  [m</t>
    </r>
    <r>
      <rPr>
        <b/>
        <vertAlign val="superscript"/>
        <sz val="10"/>
        <rFont val="Arial"/>
        <family val="2"/>
      </rPr>
      <t>3</t>
    </r>
    <r>
      <rPr>
        <b/>
        <sz val="10"/>
        <rFont val="Arial"/>
        <family val="2"/>
      </rPr>
      <t>/s]</t>
    </r>
  </si>
  <si>
    <r>
      <t>v</t>
    </r>
    <r>
      <rPr>
        <b/>
        <vertAlign val="subscript"/>
        <sz val="12"/>
        <rFont val="Arial"/>
        <family val="2"/>
      </rPr>
      <t>max</t>
    </r>
    <r>
      <rPr>
        <b/>
        <sz val="10"/>
        <rFont val="Arial"/>
        <family val="2"/>
      </rPr>
      <t xml:space="preserve"> im Schlupfloch [m/s]</t>
    </r>
  </si>
  <si>
    <r>
      <t>mittl. Fließ-quer-schnitt Becken unterh. [m</t>
    </r>
    <r>
      <rPr>
        <b/>
        <vertAlign val="superscript"/>
        <sz val="10"/>
        <rFont val="Arial"/>
        <family val="2"/>
      </rPr>
      <t>2</t>
    </r>
    <r>
      <rPr>
        <b/>
        <sz val="10"/>
        <rFont val="Arial"/>
        <family val="2"/>
      </rPr>
      <t>]</t>
    </r>
  </si>
  <si>
    <t>Eine Tauchwand kann als Geschwemmselabweiser vorgesehen werden.</t>
  </si>
  <si>
    <t>siehe Wendehorst 3.3.5.6 (26. Auflage: S.1009)</t>
  </si>
  <si>
    <t>Eingabe</t>
  </si>
  <si>
    <r>
      <t xml:space="preserve">Beiwert </t>
    </r>
    <r>
      <rPr>
        <b/>
        <sz val="10"/>
        <rFont val="Symbol"/>
        <family val="1"/>
        <charset val="2"/>
      </rPr>
      <t>c (</t>
    </r>
    <r>
      <rPr>
        <b/>
        <sz val="10"/>
        <rFont val="Arial"/>
        <family val="2"/>
      </rPr>
      <t>bei unvollk. Abfluss &lt;1)</t>
    </r>
  </si>
  <si>
    <t>(aus Diagramm)</t>
  </si>
  <si>
    <t>Ausgabe</t>
  </si>
  <si>
    <r>
      <t xml:space="preserve">Beiwert </t>
    </r>
    <r>
      <rPr>
        <b/>
        <sz val="10"/>
        <rFont val="Symbol"/>
        <family val="1"/>
        <charset val="2"/>
      </rPr>
      <t xml:space="preserve">s </t>
    </r>
    <r>
      <rPr>
        <sz val="10"/>
        <rFont val="Arial"/>
        <family val="2"/>
      </rPr>
      <t>(siehe unten)</t>
    </r>
  </si>
  <si>
    <t>meist 0,62</t>
  </si>
  <si>
    <r>
      <t xml:space="preserve">Breite des Grundstrahls </t>
    </r>
    <r>
      <rPr>
        <b/>
        <sz val="10"/>
        <rFont val="Arial"/>
        <family val="2"/>
      </rPr>
      <t>b</t>
    </r>
    <r>
      <rPr>
        <sz val="10"/>
        <rFont val="Arial"/>
        <family val="2"/>
      </rPr>
      <t xml:space="preserve"> [m]</t>
    </r>
  </si>
  <si>
    <r>
      <t xml:space="preserve">Durchlassöffnungshöhe </t>
    </r>
    <r>
      <rPr>
        <b/>
        <sz val="10"/>
        <rFont val="Arial"/>
        <family val="2"/>
      </rPr>
      <t>a</t>
    </r>
    <r>
      <rPr>
        <sz val="10"/>
        <rFont val="Arial"/>
        <family val="2"/>
      </rPr>
      <t xml:space="preserve"> [m]</t>
    </r>
  </si>
  <si>
    <r>
      <t>h</t>
    </r>
    <r>
      <rPr>
        <b/>
        <vertAlign val="subscript"/>
        <sz val="10"/>
        <rFont val="Arial"/>
        <family val="2"/>
      </rPr>
      <t>o</t>
    </r>
    <r>
      <rPr>
        <b/>
        <sz val="10"/>
        <rFont val="Arial"/>
        <family val="2"/>
      </rPr>
      <t>/a</t>
    </r>
  </si>
  <si>
    <r>
      <t xml:space="preserve">Oberwassertiefe </t>
    </r>
    <r>
      <rPr>
        <b/>
        <sz val="10"/>
        <rFont val="Arial"/>
        <family val="2"/>
      </rPr>
      <t>h</t>
    </r>
    <r>
      <rPr>
        <b/>
        <vertAlign val="subscript"/>
        <sz val="10"/>
        <rFont val="Arial"/>
        <family val="2"/>
      </rPr>
      <t xml:space="preserve">o </t>
    </r>
    <r>
      <rPr>
        <sz val="10"/>
        <rFont val="Arial"/>
        <family val="2"/>
      </rPr>
      <t>[m]</t>
    </r>
  </si>
  <si>
    <r>
      <t>h</t>
    </r>
    <r>
      <rPr>
        <b/>
        <vertAlign val="subscript"/>
        <sz val="10"/>
        <rFont val="Arial"/>
        <family val="2"/>
      </rPr>
      <t>u</t>
    </r>
    <r>
      <rPr>
        <b/>
        <sz val="10"/>
        <rFont val="Arial"/>
        <family val="2"/>
      </rPr>
      <t>/a</t>
    </r>
  </si>
  <si>
    <r>
      <t xml:space="preserve">Abflussbeiwert </t>
    </r>
    <r>
      <rPr>
        <b/>
        <sz val="10"/>
        <rFont val="Symbol"/>
        <family val="1"/>
        <charset val="2"/>
      </rPr>
      <t>m</t>
    </r>
  </si>
  <si>
    <r>
      <t>Schätzung</t>
    </r>
    <r>
      <rPr>
        <sz val="10"/>
        <rFont val="Arial"/>
        <family val="2"/>
      </rPr>
      <t xml:space="preserve"> Unterwassertiefe </t>
    </r>
    <r>
      <rPr>
        <b/>
        <sz val="10"/>
        <rFont val="Arial"/>
        <family val="2"/>
      </rPr>
      <t>hu</t>
    </r>
  </si>
  <si>
    <t>Fließgeschwindigkeit im Schlitz v [m/s]</t>
  </si>
  <si>
    <t>hu,max [m]</t>
  </si>
  <si>
    <t>maximale UW-Höhe für vollkommenen Ausfluss</t>
  </si>
  <si>
    <r>
      <t>Abfluss Q [m</t>
    </r>
    <r>
      <rPr>
        <b/>
        <vertAlign val="superscript"/>
        <sz val="10"/>
        <rFont val="Arial"/>
        <family val="2"/>
      </rPr>
      <t>3</t>
    </r>
    <r>
      <rPr>
        <b/>
        <sz val="10"/>
        <rFont val="Arial"/>
        <family val="2"/>
      </rPr>
      <t>/s]</t>
    </r>
  </si>
  <si>
    <r>
      <t xml:space="preserve">s=0,62 </t>
    </r>
    <r>
      <rPr>
        <b/>
        <sz val="10"/>
        <rFont val="Arial"/>
        <family val="2"/>
      </rPr>
      <t>bei senkrechten scharfkantigen Schützen (</t>
    </r>
    <r>
      <rPr>
        <b/>
        <sz val="10"/>
        <rFont val="Symbol"/>
        <family val="1"/>
        <charset val="2"/>
      </rPr>
      <t>a</t>
    </r>
    <r>
      <rPr>
        <b/>
        <sz val="10"/>
        <rFont val="Arial"/>
        <family val="2"/>
      </rPr>
      <t>=90°), siehe auch Heinemann/Paul: "Hydraulik für Ingenieure"</t>
    </r>
  </si>
  <si>
    <r>
      <t xml:space="preserve">s=0,70 </t>
    </r>
    <r>
      <rPr>
        <b/>
        <sz val="10"/>
        <rFont val="Arial"/>
        <family val="2"/>
      </rPr>
      <t xml:space="preserve">bei </t>
    </r>
    <r>
      <rPr>
        <b/>
        <sz val="10"/>
        <rFont val="Symbol"/>
        <family val="1"/>
        <charset val="2"/>
      </rPr>
      <t>a</t>
    </r>
    <r>
      <rPr>
        <b/>
        <sz val="10"/>
        <rFont val="Arial"/>
        <family val="2"/>
      </rPr>
      <t>=60° und senkrechten Schützen mit abgerundeter Ablösungskante</t>
    </r>
  </si>
  <si>
    <t>Summe Breite Riegel-krone  [m]</t>
  </si>
  <si>
    <t>Beckenbreite auf Höhe OK Riegel [m]:</t>
  </si>
  <si>
    <r>
      <t>m</t>
    </r>
    <r>
      <rPr>
        <b/>
        <sz val="12"/>
        <rFont val="Symbol"/>
        <family val="1"/>
        <charset val="2"/>
      </rPr>
      <t xml:space="preserve"> </t>
    </r>
    <r>
      <rPr>
        <b/>
        <sz val="10"/>
        <rFont val="Arial"/>
        <family val="2"/>
      </rPr>
      <t>Schlitzschwelle</t>
    </r>
  </si>
  <si>
    <t>Mindestversatz der Schlitzöffnungen [m]:</t>
  </si>
  <si>
    <t>Nei-gung linke Böschung [h/b] 1:</t>
  </si>
  <si>
    <t>Nei-gung rechte Böschung  [h/b] 1:</t>
  </si>
  <si>
    <t>mittl. Was-sertiefe [m]</t>
  </si>
  <si>
    <r>
      <t>mittl. Fließ-querschnitt [m</t>
    </r>
    <r>
      <rPr>
        <b/>
        <vertAlign val="superscript"/>
        <sz val="10"/>
        <rFont val="Arial"/>
        <family val="2"/>
      </rPr>
      <t>2</t>
    </r>
    <r>
      <rPr>
        <b/>
        <sz val="10"/>
        <rFont val="Arial"/>
        <family val="2"/>
      </rPr>
      <t>]</t>
    </r>
  </si>
  <si>
    <t>Breite Becken auf OK-Niveau des Riegels [m]</t>
  </si>
  <si>
    <t>= 1:</t>
  </si>
  <si>
    <t>= [%]</t>
  </si>
  <si>
    <t>Mindestversatz der Schlitzöffnungen  [m]:</t>
  </si>
  <si>
    <r>
      <t>h</t>
    </r>
    <r>
      <rPr>
        <b/>
        <vertAlign val="subscript"/>
        <sz val="8"/>
        <rFont val="Arial"/>
        <family val="2"/>
      </rPr>
      <t>gr</t>
    </r>
    <r>
      <rPr>
        <b/>
        <sz val="8"/>
        <rFont val="Arial"/>
        <family val="2"/>
      </rPr>
      <t xml:space="preserve"> Schlitz-schwelle [m]</t>
    </r>
  </si>
  <si>
    <r>
      <t>h</t>
    </r>
    <r>
      <rPr>
        <b/>
        <vertAlign val="subscript"/>
        <sz val="8"/>
        <rFont val="Arial"/>
        <family val="2"/>
      </rPr>
      <t xml:space="preserve">gr </t>
    </r>
    <r>
      <rPr>
        <b/>
        <sz val="8"/>
        <rFont val="Arial"/>
        <family val="2"/>
      </rPr>
      <t>freie Schlitzbreite [m]</t>
    </r>
  </si>
  <si>
    <t>~0,65 (M509)</t>
  </si>
  <si>
    <t>0,55 (M509)</t>
  </si>
  <si>
    <t xml:space="preserve">1,05-1,1 bei Riegelsteinen mit geraden </t>
  </si>
  <si>
    <t>Bruchflächen, gut aneinander gefügt</t>
  </si>
  <si>
    <t xml:space="preserve">1,15-1,25 bei runden Riegelsteinen oder </t>
  </si>
  <si>
    <t>sehr unregelmäßigen Bruchkanten</t>
  </si>
  <si>
    <t>verluste am Riegel:</t>
  </si>
  <si>
    <t>Eine telefonische Hilfestellung für dieses Programm ist aus zeitlichen Gründen nur bei eigener räumlicher Zuständigkeit des RP Darmstadt, Abteilung Umwelt Darmstadt für den speziellen Anwendungsfall möglich. Sollten Sie bei der Arbeit mit dem Programm Fehler finden, bitte melden Sie diese an wolfgang.kleef@rpda.hessen.de 
(Achtung: Damit die Funktion "Solver" verwendet werden kann, wurde auf einen Schutz der Tabellenblätter verzichtet. Deshalb kann jede Zelle frei verändert werden. Dies gilt auch für die enthaltenen Formeln. Bitte melden Sie nur Fehler, die sich auch tatsächlich in der unveränderten Originaldatei finden. Besten Dank.)</t>
  </si>
  <si>
    <t xml:space="preserve">                             Hinweise zur Bedienung siehe eingebundene pdf-Datei</t>
  </si>
  <si>
    <r>
      <t>m</t>
    </r>
    <r>
      <rPr>
        <b/>
        <vertAlign val="subscript"/>
        <sz val="14"/>
        <rFont val="Arial"/>
        <family val="2"/>
      </rPr>
      <t>v</t>
    </r>
  </si>
  <si>
    <t>a</t>
  </si>
  <si>
    <r>
      <rPr>
        <sz val="10"/>
        <rFont val="Arial"/>
        <family val="2"/>
      </rPr>
      <t>str-diss</t>
    </r>
    <r>
      <rPr>
        <b/>
        <sz val="10"/>
        <rFont val="Arial"/>
        <family val="2"/>
      </rPr>
      <t xml:space="preserve">: a
</t>
    </r>
    <r>
      <rPr>
        <sz val="10"/>
        <rFont val="Arial"/>
        <family val="2"/>
      </rPr>
      <t>str-stab</t>
    </r>
    <r>
      <rPr>
        <b/>
        <sz val="10"/>
        <rFont val="Arial"/>
        <family val="2"/>
      </rPr>
      <t xml:space="preserve">: b
</t>
    </r>
    <r>
      <rPr>
        <sz val="10"/>
        <rFont val="Arial"/>
        <family val="2"/>
      </rPr>
      <t>versetzt</t>
    </r>
    <r>
      <rPr>
        <b/>
        <sz val="10"/>
        <rFont val="Arial"/>
        <family val="2"/>
      </rPr>
      <t>: c</t>
    </r>
  </si>
  <si>
    <t>Schlitzbreite [m]</t>
  </si>
  <si>
    <r>
      <rPr>
        <b/>
        <sz val="12"/>
        <rFont val="Symbol"/>
        <family val="1"/>
        <charset val="2"/>
      </rPr>
      <t>m</t>
    </r>
    <r>
      <rPr>
        <b/>
        <vertAlign val="subscript"/>
        <sz val="12"/>
        <rFont val="Arial"/>
        <family val="2"/>
      </rPr>
      <t>v</t>
    </r>
    <r>
      <rPr>
        <b/>
        <sz val="10"/>
        <rFont val="Arial"/>
        <family val="2"/>
      </rPr>
      <t xml:space="preserve"> im 
Gültig-keits-
bereich ?</t>
    </r>
  </si>
  <si>
    <t>Becken unterhalb</t>
  </si>
  <si>
    <r>
      <t xml:space="preserve">breitkronig </t>
    </r>
    <r>
      <rPr>
        <b/>
        <sz val="11"/>
        <color indexed="8"/>
        <rFont val="Calibri"/>
        <family val="2"/>
      </rPr>
      <t>n</t>
    </r>
    <r>
      <rPr>
        <sz val="11"/>
        <color theme="1"/>
        <rFont val="Calibri"/>
        <family val="2"/>
        <scheme val="minor"/>
      </rPr>
      <t xml:space="preserve">=4 </t>
    </r>
  </si>
  <si>
    <r>
      <t xml:space="preserve">abgerundet </t>
    </r>
    <r>
      <rPr>
        <b/>
        <sz val="11"/>
        <color indexed="8"/>
        <rFont val="Calibri"/>
        <family val="2"/>
      </rPr>
      <t>n</t>
    </r>
    <r>
      <rPr>
        <sz val="11"/>
        <color theme="1"/>
        <rFont val="Calibri"/>
        <family val="2"/>
        <scheme val="minor"/>
      </rPr>
      <t xml:space="preserve">=3 </t>
    </r>
  </si>
  <si>
    <r>
      <t xml:space="preserve">scharfkantig (z.B. Holzbohle) </t>
    </r>
    <r>
      <rPr>
        <b/>
        <sz val="11"/>
        <color indexed="8"/>
        <rFont val="Calibri"/>
        <family val="2"/>
      </rPr>
      <t>n</t>
    </r>
    <r>
      <rPr>
        <sz val="11"/>
        <color theme="1"/>
        <rFont val="Calibri"/>
        <family val="2"/>
        <scheme val="minor"/>
      </rPr>
      <t xml:space="preserve">=2 </t>
    </r>
  </si>
  <si>
    <r>
      <t xml:space="preserve">ho / Riegel-höhe </t>
    </r>
    <r>
      <rPr>
        <b/>
        <sz val="12"/>
        <rFont val="Calibri"/>
        <family val="2"/>
      </rPr>
      <t>≤</t>
    </r>
    <r>
      <rPr>
        <b/>
        <sz val="10"/>
        <rFont val="Calibri"/>
        <family val="2"/>
      </rPr>
      <t xml:space="preserve"> </t>
    </r>
    <r>
      <rPr>
        <b/>
        <sz val="10"/>
        <rFont val="Arial"/>
        <family val="2"/>
      </rPr>
      <t>1,5 ?</t>
    </r>
  </si>
  <si>
    <r>
      <t>äquival. Stein-</t>
    </r>
    <r>
      <rPr>
        <sz val="11"/>
        <color indexed="8"/>
        <rFont val="Calibri"/>
        <family val="2"/>
      </rPr>
      <t>Ø</t>
    </r>
    <r>
      <rPr>
        <sz val="11"/>
        <color theme="1"/>
        <rFont val="Calibri"/>
        <family val="2"/>
        <scheme val="minor"/>
      </rPr>
      <t xml:space="preserve"> unterh. Schlitz ds [m]</t>
    </r>
  </si>
  <si>
    <r>
      <t>Mindestbeckenlänge (Q330, bei PD&gt; 150W/m</t>
    </r>
    <r>
      <rPr>
        <b/>
        <vertAlign val="superscript"/>
        <sz val="11"/>
        <color indexed="8"/>
        <rFont val="Calibri"/>
        <family val="2"/>
      </rPr>
      <t>3</t>
    </r>
    <r>
      <rPr>
        <b/>
        <sz val="11"/>
        <color indexed="8"/>
        <rFont val="Calibri"/>
        <family val="2"/>
      </rPr>
      <t>) [m]:</t>
    </r>
  </si>
  <si>
    <t>Max.</t>
  </si>
  <si>
    <t>Min.</t>
  </si>
  <si>
    <t>Bemessungswerte für Raugerinne mit Beckenstruktur und Raugerinne mit Störsteinen  gemäß DWA M509</t>
  </si>
  <si>
    <t>Anzusetzende Sicherheitsbeiwerte für Raugerinne: (siehe DWA M509 Mai 2014 S. 156 f.)</t>
  </si>
  <si>
    <t>Sv für Fließgeschwindigkeit</t>
  </si>
  <si>
    <t>0,9 für Raugerinne mit Beckenstruktur, 0,8 bei flächiger und Störstein-Bauweise</t>
  </si>
  <si>
    <t>Sg für geometrische Dimensionen</t>
  </si>
  <si>
    <t>Sp für Leistungsdichte</t>
  </si>
  <si>
    <t>Sb für Wartung/Verlegungsneigung</t>
  </si>
  <si>
    <t xml:space="preserve"> 1   bei Betriebsbedingungen mit geringem Wartungsbedarf</t>
  </si>
  <si>
    <t xml:space="preserve">0,9 bei großen Wartungsintervallen /erhöhter Verlegungsgefahr, </t>
  </si>
  <si>
    <r>
      <t>Die Wahl von S</t>
    </r>
    <r>
      <rPr>
        <vertAlign val="subscript"/>
        <sz val="10.5"/>
        <color indexed="8"/>
        <rFont val="Calibri"/>
        <family val="2"/>
      </rPr>
      <t>b</t>
    </r>
    <r>
      <rPr>
        <sz val="10.5"/>
        <color indexed="8"/>
        <rFont val="Calibri"/>
        <family val="2"/>
      </rPr>
      <t xml:space="preserve"> ist zu begründen.</t>
    </r>
  </si>
  <si>
    <t xml:space="preserve">0,8 bei kleinen Öffnungen (s &lt; 60cm), großen Wartungsintervallen etc. </t>
  </si>
  <si>
    <r>
      <t xml:space="preserve">Max. zulässige planerische Wasserspiegeldifferenz </t>
    </r>
    <r>
      <rPr>
        <b/>
        <sz val="10.5"/>
        <color indexed="8"/>
        <rFont val="Symbol"/>
        <family val="1"/>
        <charset val="2"/>
      </rPr>
      <t>D</t>
    </r>
    <r>
      <rPr>
        <b/>
        <sz val="10.5"/>
        <color indexed="8"/>
        <rFont val="Calibri"/>
        <family val="2"/>
      </rPr>
      <t>h [m]</t>
    </r>
  </si>
  <si>
    <t>Werte gem. M509, Tabelle 15 (S.117)</t>
  </si>
  <si>
    <t>Beckenstrukturen</t>
  </si>
  <si>
    <t>Störsteinbauweisen</t>
  </si>
  <si>
    <r>
      <t>H</t>
    </r>
    <r>
      <rPr>
        <vertAlign val="subscript"/>
        <sz val="10.5"/>
        <color indexed="8"/>
        <rFont val="Calibri"/>
        <family val="2"/>
      </rPr>
      <t>ges</t>
    </r>
    <r>
      <rPr>
        <sz val="10.5"/>
        <color indexed="8"/>
        <rFont val="Calibri"/>
        <family val="2"/>
      </rPr>
      <t xml:space="preserve"> am Bauwerk</t>
    </r>
  </si>
  <si>
    <t>Obere Forellen</t>
  </si>
  <si>
    <t>Untere Forellen</t>
  </si>
  <si>
    <t>Äschen</t>
  </si>
  <si>
    <t>Barben</t>
  </si>
  <si>
    <t>Brachsen</t>
  </si>
  <si>
    <t>Kaulbarsch-Flunder</t>
  </si>
  <si>
    <t>Art</t>
  </si>
  <si>
    <t>Länge adulter Exemplare [m]</t>
  </si>
  <si>
    <t>rel. Körper-höhe [m]</t>
  </si>
  <si>
    <t>rel. Körper-dicke [m]</t>
  </si>
  <si>
    <r>
      <t>min. L</t>
    </r>
    <r>
      <rPr>
        <vertAlign val="subscript"/>
        <sz val="11"/>
        <color indexed="8"/>
        <rFont val="Calibri"/>
        <family val="2"/>
      </rPr>
      <t xml:space="preserve">Becken  </t>
    </r>
    <r>
      <rPr>
        <sz val="11"/>
        <color theme="1"/>
        <rFont val="Calibri"/>
        <family val="2"/>
        <scheme val="minor"/>
      </rPr>
      <t>[m]</t>
    </r>
  </si>
  <si>
    <t>min. Schlitz-weite [m]</t>
  </si>
  <si>
    <r>
      <t>h</t>
    </r>
    <r>
      <rPr>
        <vertAlign val="subscript"/>
        <sz val="10.5"/>
        <color indexed="8"/>
        <rFont val="Calibri"/>
        <family val="2"/>
      </rPr>
      <t>u,bem</t>
    </r>
    <r>
      <rPr>
        <sz val="10.5"/>
        <color indexed="8"/>
        <rFont val="Calibri"/>
        <family val="2"/>
      </rPr>
      <t xml:space="preserve"> [m]</t>
    </r>
  </si>
  <si>
    <t>&lt;3</t>
  </si>
  <si>
    <t>Bachforelle</t>
  </si>
  <si>
    <t>3-6m</t>
  </si>
  <si>
    <t>Äsche</t>
  </si>
  <si>
    <t>6-9m</t>
  </si>
  <si>
    <t>Döbel</t>
  </si>
  <si>
    <t xml:space="preserve">&gt;9m </t>
  </si>
  <si>
    <t>Einzelfallentscheidung</t>
  </si>
  <si>
    <t>Lachs</t>
  </si>
  <si>
    <t>Meerforelle</t>
  </si>
  <si>
    <r>
      <t>Max. zulässige planerische Leistungsdichte [W/m</t>
    </r>
    <r>
      <rPr>
        <b/>
        <vertAlign val="superscript"/>
        <sz val="10.5"/>
        <color indexed="8"/>
        <rFont val="Calibri"/>
        <family val="2"/>
      </rPr>
      <t>3</t>
    </r>
    <r>
      <rPr>
        <b/>
        <sz val="10.5"/>
        <color indexed="8"/>
        <rFont val="Calibri"/>
        <family val="2"/>
      </rPr>
      <t>]</t>
    </r>
  </si>
  <si>
    <t>Quappe</t>
  </si>
  <si>
    <t>Plötze</t>
  </si>
  <si>
    <t>Barbe</t>
  </si>
  <si>
    <t>mit Zander oder Hecht</t>
  </si>
  <si>
    <t>Nase</t>
  </si>
  <si>
    <r>
      <t>(neu in M509: P</t>
    </r>
    <r>
      <rPr>
        <vertAlign val="subscript"/>
        <sz val="10.5"/>
        <color indexed="8"/>
        <rFont val="Calibri"/>
        <family val="2"/>
      </rPr>
      <t>D</t>
    </r>
    <r>
      <rPr>
        <sz val="10.5"/>
        <color indexed="8"/>
        <rFont val="Calibri"/>
        <family val="2"/>
      </rPr>
      <t>= Sp*Sb*Grenzwert)</t>
    </r>
  </si>
  <si>
    <t>Aland</t>
  </si>
  <si>
    <t>Rapfen</t>
  </si>
  <si>
    <t>Barsch</t>
  </si>
  <si>
    <t>Hecht</t>
  </si>
  <si>
    <t>Zulässige mittlere Fließgeschwindigkeit in Engstellen von Raugerinnen in Störsteinbauweise [m/s]</t>
  </si>
  <si>
    <t>Zander</t>
  </si>
  <si>
    <t>&lt; 5 m</t>
  </si>
  <si>
    <t>5 bis 10m</t>
  </si>
  <si>
    <t>&gt; 10 m</t>
  </si>
  <si>
    <t>PD,Bem [W/m3]</t>
  </si>
  <si>
    <t>Wels</t>
  </si>
  <si>
    <t>Maifisch</t>
  </si>
  <si>
    <t>Karpfen</t>
  </si>
  <si>
    <t>Karausche</t>
  </si>
  <si>
    <t>Schleie</t>
  </si>
  <si>
    <t>Kaulb-Flunder</t>
  </si>
  <si>
    <t>Grenzwerte für Fließgeschwindigkeit vmax [m/s] in beckenartigen FAA+Raugerinnen, DWA M509 Tabelle 17:</t>
  </si>
  <si>
    <t>Hges</t>
  </si>
  <si>
    <t>3-6 m</t>
  </si>
  <si>
    <t>6-9 m</t>
  </si>
  <si>
    <t xml:space="preserve">&gt;9 m </t>
  </si>
  <si>
    <t>(Tabelle ist identisch mit Tabelle 43 für Schlitz-/Beckenpässe)</t>
  </si>
  <si>
    <r>
      <t>Grenzwerte für die Leistungsdichte [W/m</t>
    </r>
    <r>
      <rPr>
        <vertAlign val="superscript"/>
        <sz val="10.5"/>
        <color indexed="23"/>
        <rFont val="Calibri"/>
        <family val="2"/>
      </rPr>
      <t>3</t>
    </r>
    <r>
      <rPr>
        <sz val="10.5"/>
        <color indexed="23"/>
        <rFont val="Calibri"/>
        <family val="2"/>
      </rPr>
      <t>] (Tabelle 21, S.111)</t>
    </r>
  </si>
  <si>
    <t>Raugerinne mit Beckenstrukturen</t>
  </si>
  <si>
    <t>Raugerinne mit Störsteinen</t>
  </si>
  <si>
    <r>
      <t>Grenzwerte für die mittlere Fließgeschwindigkeit v</t>
    </r>
    <r>
      <rPr>
        <vertAlign val="subscript"/>
        <sz val="12"/>
        <color indexed="23"/>
        <rFont val="Calibri"/>
        <family val="2"/>
      </rPr>
      <t>m,E</t>
    </r>
    <r>
      <rPr>
        <sz val="10.5"/>
        <color indexed="23"/>
        <rFont val="Calibri"/>
        <family val="2"/>
      </rPr>
      <t xml:space="preserve"> [m/s] im Wanderkorridor von Raugerinnen in Störsteinbauweise, DWA M509 Tabelle 19:</t>
    </r>
  </si>
  <si>
    <t>Gesamtlänge</t>
  </si>
  <si>
    <t>&lt;5 m</t>
  </si>
  <si>
    <t>5-10 m</t>
  </si>
  <si>
    <t xml:space="preserve">&gt;10 m </t>
  </si>
  <si>
    <t>Bemessungswerte für Fischaufstiegsanlagen gemäß DWA M509 (S.226 f.)</t>
  </si>
  <si>
    <t>Anzusetzende Sicherheitsbeiwerte für beckenartige Fischpässe: (siehe DWA M509 S. 226 f.)</t>
  </si>
  <si>
    <r>
      <t xml:space="preserve">0,95 bei allen Anlagen in Standard des Merkblatts ; </t>
    </r>
    <r>
      <rPr>
        <b/>
        <sz val="12"/>
        <color indexed="8"/>
        <rFont val="Calibri"/>
        <family val="2"/>
      </rPr>
      <t>&lt;</t>
    </r>
    <r>
      <rPr>
        <sz val="12"/>
        <color indexed="8"/>
        <rFont val="Calibri"/>
        <family val="2"/>
      </rPr>
      <t xml:space="preserve"> </t>
    </r>
    <r>
      <rPr>
        <sz val="10.5"/>
        <color indexed="8"/>
        <rFont val="Calibri"/>
        <family val="2"/>
      </rPr>
      <t xml:space="preserve">0,9 bei Abweichungen vom Standard; </t>
    </r>
    <r>
      <rPr>
        <b/>
        <sz val="12"/>
        <color indexed="8"/>
        <rFont val="Calibri"/>
        <family val="2"/>
      </rPr>
      <t>&lt;</t>
    </r>
    <r>
      <rPr>
        <sz val="10.5"/>
        <color indexed="8"/>
        <rFont val="Calibri"/>
        <family val="2"/>
      </rPr>
      <t xml:space="preserve"> 0,9 bei Raugerinne-Beckenpässen</t>
    </r>
  </si>
  <si>
    <t>1,0 bei Schlitzpässen und konv. Beckenpässen, 0,8 bei Raugerinne-Beckenpässen</t>
  </si>
  <si>
    <t>0,9 bei allen Anlagen</t>
  </si>
  <si>
    <t>0,8 bei Raugerinne-Beckenpässen mit Einbauten aus Naturstein</t>
  </si>
  <si>
    <t>Länge adul-ter Exem-plare [m]</t>
  </si>
  <si>
    <r>
      <t>min. L</t>
    </r>
    <r>
      <rPr>
        <b/>
        <vertAlign val="subscript"/>
        <sz val="11"/>
        <color indexed="8"/>
        <rFont val="Calibri"/>
        <family val="2"/>
      </rPr>
      <t xml:space="preserve">Becken  </t>
    </r>
    <r>
      <rPr>
        <b/>
        <sz val="11"/>
        <color indexed="8"/>
        <rFont val="Calibri"/>
        <family val="2"/>
      </rPr>
      <t>[m]</t>
    </r>
  </si>
  <si>
    <t xml:space="preserve"> Sb+SV berechnet (S.211). Im Schlitzpass-Beispiel (S.214/215) wird aber</t>
  </si>
  <si>
    <t>auch bei Q30 mit Sb+Sv gerechnet (--&gt; unklar).</t>
  </si>
  <si>
    <t>*): Bei der Wassertiefe in beckenartigen Anlagen ist zusätzlich ∆h zwischen zwei Becken hinzuzuaddieren.</t>
  </si>
  <si>
    <t>**) Min. Wassertiefe in Becken bei Raugerinne-Beckenpässen 0,4 m, bei Schlitzpässen 0,5m</t>
  </si>
  <si>
    <t>Eingaben nur in gelbe Felder !!!</t>
  </si>
  <si>
    <r>
      <t>h</t>
    </r>
    <r>
      <rPr>
        <b/>
        <vertAlign val="subscript"/>
        <sz val="10.5"/>
        <color indexed="8"/>
        <rFont val="Calibri"/>
        <family val="2"/>
      </rPr>
      <t>eff,min</t>
    </r>
    <r>
      <rPr>
        <b/>
        <sz val="10.5"/>
        <color indexed="8"/>
        <rFont val="Calibri"/>
        <family val="2"/>
      </rPr>
      <t xml:space="preserve"> WK [m] **)</t>
    </r>
  </si>
  <si>
    <r>
      <t>h</t>
    </r>
    <r>
      <rPr>
        <b/>
        <vertAlign val="subscript"/>
        <sz val="10.5"/>
        <color indexed="8"/>
        <rFont val="Calibri"/>
        <family val="2"/>
      </rPr>
      <t>min</t>
    </r>
    <r>
      <rPr>
        <b/>
        <sz val="10.5"/>
        <color indexed="8"/>
        <rFont val="Calibri"/>
        <family val="2"/>
      </rPr>
      <t>: 
4-5 H</t>
    </r>
    <r>
      <rPr>
        <b/>
        <vertAlign val="subscript"/>
        <sz val="10.5"/>
        <color indexed="8"/>
        <rFont val="Calibri"/>
        <family val="2"/>
      </rPr>
      <t>Fisch</t>
    </r>
    <r>
      <rPr>
        <b/>
        <sz val="10.5"/>
        <color indexed="8"/>
        <rFont val="Calibri"/>
        <family val="2"/>
      </rPr>
      <t xml:space="preserve">  in beckenartigen FAA</t>
    </r>
  </si>
  <si>
    <t>0,9 für Raugerinne mit Beckenstruktur und Störstein-Bauweise</t>
  </si>
  <si>
    <t>Tiefe des Kronenausschnitts [m]</t>
  </si>
  <si>
    <t>2. GEWÄHRLEISTUNGSAUSSCHLUSS: DIESE SOFTWARE WIRD OHNE JEDE GARANTIE "WIE VORHANDEN" BEREITGESTELLT. SIE ÜBERNEHMEN ALLE RISIKEN SOWIE DIE GESAMTE VERANTWORTUNG FÜR DIE AUSWAHL DER SOFTWARE ZUM ERREICHEN DER VON IHNEN BEABSICHTIGTEN ERGEBNISSE UND FÜR DIE INSTALLATION UND NUTZUNG DER SOFTWARE SOWIE FÜR DIE DURCH DIE SOFTWARE ERHALTENEN ERGEBNISSE. DAS REGIERUNGSPRÄSIDIUM DARMSTADT ÜBERNIMMT KEINE GARANTIE, DASS DIE SOFTWARE FEHLERFREI ODER FREI VON UNTERBRECHUNGEN UND AUSFÄLLEN IST ODER DASS SIE KOMPATIBEL MIT BESTIMMTER HARDWARE ODER SOFTWARE IST. DAS REGIERUNGSPRÄSIDIUM DARMSTADT SCHLIESST  ALLE GARANTIEN, AUSDRÜCKLICH ODER STILLSCHWEIGEND, AUS. DIES SCHLIESST AUCH EINE IMPLIZIERTE GARANTIE BEZÜGLICH DER EIGNUNG FÜR EINEN BESTIMMTEN ZWECK UND DER NICHTVERLETZUNG VON RECHTEN IM ZUSAMMENHANG MIT DER SOFTWARE  EIN, IST JEDOCH NICHT DARAUF BEGRENZT. SIE AKZEPTIEREN HIERMIT, DASS DIE SOFTWARE MÖGLICHERWEISE AUFGRUND BESTIMMTER FAKTOREN NICHT VERFÜGBAR IST ODER WIRD. DIES SCHLIESST AUCH DIE REGELMÄSSIGE SYSTEMWARTUNG, GEPLANT ODER UNGEPLANT, HÖHERE GEWALT, TECHNISCHES VERSAGEN DER SOFTWARE, UNTERBRECHUNGEN AUFGRUND VON VIREN, HANDLUNGEN ODER UNTERLASSUNGEN
VON DRITTEN ODER ANDERE GRÜNDE MIT EIN, DIE AUSSERHALB DES EINFLUSSES DES REGIERUNGSPRÄSIDIUM DARMSTADT LIEGEN. 
DESHALB SCHLIESST DAS REGIERUNGSPRÄSIDIUM DARMSTADT AUSDRÜCKLICH ALLE GARANTIEN IM HINBLICK AUF DIE SOFTWARE AUS.</t>
  </si>
  <si>
    <t>Aktualisierung</t>
  </si>
  <si>
    <t xml:space="preserve">www.rp-darmstadt.hessen.de  </t>
  </si>
  <si>
    <t>Das Programm wird nach Bedarf des Regierungspräsidiums Darmstadt gelegentlich aktualisiert. Sie finden die Excel-Datei unter folgendem Pfad:</t>
  </si>
  <si>
    <t>0,8 für Raugerinne mit Beckenstruktur oder Störsteinen; 0,9 bei Raugerinnen ohne Einbauten; 0,95 für Wassertiefe bei Raugerinnen ohne Einbauten</t>
  </si>
  <si>
    <t>1   bei guten Verhältnissen (geringe Wartungsintervalle + funktionierender Treibgutabweiser)</t>
  </si>
  <si>
    <r>
      <t>Min. lichter Abst. Stör-steine längs  
2a</t>
    </r>
    <r>
      <rPr>
        <vertAlign val="subscript"/>
        <sz val="10.5"/>
        <color indexed="8"/>
        <rFont val="Calibri"/>
        <family val="2"/>
      </rPr>
      <t>x</t>
    </r>
    <r>
      <rPr>
        <sz val="10.5"/>
        <color indexed="8"/>
        <rFont val="Calibri"/>
        <family val="2"/>
      </rPr>
      <t>-ds [m]</t>
    </r>
  </si>
  <si>
    <r>
      <t xml:space="preserve">Min. lichter Abst. Stör-steine quer ay [m]
</t>
    </r>
    <r>
      <rPr>
        <b/>
        <sz val="10.5"/>
        <color indexed="8"/>
        <rFont val="Calibri"/>
        <family val="2"/>
      </rPr>
      <t xml:space="preserve">Achtung: zusätzl. 
ay </t>
    </r>
    <r>
      <rPr>
        <b/>
        <sz val="10.5"/>
        <color indexed="8"/>
        <rFont val="Calibri"/>
        <family val="2"/>
      </rPr>
      <t>≥ 0,9 • ax</t>
    </r>
  </si>
  <si>
    <r>
      <t>h</t>
    </r>
    <r>
      <rPr>
        <vertAlign val="subscript"/>
        <sz val="11"/>
        <color indexed="8"/>
        <rFont val="Calibri"/>
        <family val="2"/>
      </rPr>
      <t>eff, bem.</t>
    </r>
    <r>
      <rPr>
        <sz val="10.5"/>
        <color indexed="8"/>
        <rFont val="Calibri"/>
        <family val="2"/>
      </rPr>
      <t xml:space="preserve"> [m]</t>
    </r>
  </si>
  <si>
    <r>
      <t>h</t>
    </r>
    <r>
      <rPr>
        <vertAlign val="subscript"/>
        <sz val="11"/>
        <color indexed="8"/>
        <rFont val="Calibri"/>
        <family val="2"/>
      </rPr>
      <t>D,bem.</t>
    </r>
    <r>
      <rPr>
        <sz val="10.5"/>
        <color indexed="8"/>
        <rFont val="Calibri"/>
        <family val="2"/>
      </rPr>
      <t xml:space="preserve">  (hu,</t>
    </r>
    <r>
      <rPr>
        <vertAlign val="subscript"/>
        <sz val="10.5"/>
        <color indexed="8"/>
        <rFont val="Calibri"/>
        <family val="2"/>
      </rPr>
      <t>min.</t>
    </r>
    <r>
      <rPr>
        <sz val="10.5"/>
        <color indexed="8"/>
        <rFont val="Calibri"/>
        <family val="2"/>
      </rPr>
      <t xml:space="preserve"> Engst.) [m]</t>
    </r>
  </si>
  <si>
    <t>*siehe Mouse-over Kommentar</t>
  </si>
  <si>
    <r>
      <t>RG-</t>
    </r>
    <r>
      <rPr>
        <b/>
        <sz val="9"/>
        <rFont val="Arial"/>
        <family val="2"/>
      </rPr>
      <t>Beckenpässe:</t>
    </r>
    <r>
      <rPr>
        <b/>
        <sz val="10"/>
        <rFont val="Arial"/>
        <family val="2"/>
      </rPr>
      <t xml:space="preserve">     </t>
    </r>
    <r>
      <rPr>
        <b/>
        <sz val="12"/>
        <rFont val="Arial"/>
        <family val="2"/>
      </rPr>
      <t>h</t>
    </r>
    <r>
      <rPr>
        <b/>
        <vertAlign val="subscript"/>
        <sz val="12"/>
        <rFont val="Arial"/>
        <family val="2"/>
      </rPr>
      <t>eff</t>
    </r>
    <r>
      <rPr>
        <b/>
        <vertAlign val="subscript"/>
        <sz val="10"/>
        <rFont val="Arial"/>
        <family val="2"/>
      </rPr>
      <t xml:space="preserve"> </t>
    </r>
    <r>
      <rPr>
        <sz val="9"/>
        <rFont val="Arial"/>
        <family val="2"/>
      </rPr>
      <t>unterh. Schlitz</t>
    </r>
  </si>
  <si>
    <r>
      <rPr>
        <b/>
        <sz val="12"/>
        <rFont val="Arial"/>
        <family val="2"/>
      </rPr>
      <t>h</t>
    </r>
    <r>
      <rPr>
        <b/>
        <vertAlign val="subscript"/>
        <sz val="12"/>
        <rFont val="Arial"/>
        <family val="2"/>
      </rPr>
      <t>u</t>
    </r>
    <r>
      <rPr>
        <b/>
        <sz val="10"/>
        <rFont val="Arial"/>
        <family val="2"/>
      </rPr>
      <t xml:space="preserve"> bzw. </t>
    </r>
    <r>
      <rPr>
        <b/>
        <sz val="12"/>
        <rFont val="Arial"/>
        <family val="2"/>
      </rPr>
      <t>h</t>
    </r>
    <r>
      <rPr>
        <b/>
        <vertAlign val="subscript"/>
        <sz val="12"/>
        <rFont val="Arial"/>
        <family val="2"/>
      </rPr>
      <t>eff</t>
    </r>
    <r>
      <rPr>
        <b/>
        <vertAlign val="subscript"/>
        <sz val="10"/>
        <rFont val="Arial"/>
        <family val="2"/>
      </rPr>
      <t xml:space="preserve"> </t>
    </r>
    <r>
      <rPr>
        <sz val="9"/>
        <rFont val="Arial"/>
        <family val="2"/>
      </rPr>
      <t>un-terh. Schlitz [m]</t>
    </r>
  </si>
  <si>
    <t>Riegel-Nr.  (1: unten)</t>
  </si>
  <si>
    <t>Riegel-Nr. (1: unten)</t>
  </si>
  <si>
    <t>Sonderstrukturen</t>
  </si>
  <si>
    <r>
      <t>Breite kurze Einengung (bis 2m):
b</t>
    </r>
    <r>
      <rPr>
        <vertAlign val="subscript"/>
        <sz val="11"/>
        <color indexed="8"/>
        <rFont val="Calibri"/>
        <family val="2"/>
      </rPr>
      <t xml:space="preserve">min </t>
    </r>
    <r>
      <rPr>
        <sz val="11"/>
        <color indexed="8"/>
        <rFont val="Calibri"/>
        <family val="2"/>
      </rPr>
      <t>≥ 6•dFisch [m]</t>
    </r>
  </si>
  <si>
    <r>
      <t>Breite  Einengung (L &gt; 2m):
b</t>
    </r>
    <r>
      <rPr>
        <vertAlign val="subscript"/>
        <sz val="11"/>
        <color indexed="8"/>
        <rFont val="Calibri"/>
        <family val="2"/>
      </rPr>
      <t>min</t>
    </r>
    <r>
      <rPr>
        <sz val="10.5"/>
        <color indexed="8"/>
        <rFont val="Calibri"/>
        <family val="2"/>
      </rPr>
      <t xml:space="preserve"> </t>
    </r>
    <r>
      <rPr>
        <sz val="11"/>
        <color indexed="8"/>
        <rFont val="Calibri"/>
        <family val="2"/>
      </rPr>
      <t>≥ 9•dFisch [m]</t>
    </r>
  </si>
  <si>
    <r>
      <t xml:space="preserve">Hydraulische </t>
    </r>
    <r>
      <rPr>
        <b/>
        <u/>
        <sz val="14"/>
        <color indexed="8"/>
        <rFont val="Calibri"/>
        <family val="2"/>
      </rPr>
      <t>Grenz</t>
    </r>
    <r>
      <rPr>
        <b/>
        <u/>
        <sz val="11"/>
        <color indexed="8"/>
        <rFont val="Calibri"/>
        <family val="2"/>
      </rPr>
      <t>werte</t>
    </r>
  </si>
  <si>
    <t>Hydraulische Bemessungswerte für beckenartige Raugerinne</t>
  </si>
  <si>
    <t>Hydraulische Bemessungswerte für Raugerinne mit Störsteinen</t>
  </si>
  <si>
    <t>Geometrische Bemessungswerte für Raugerinne</t>
  </si>
  <si>
    <t>Hydraulische Bemessungswerte für Schlitzpässe, Beckenpässe etc.</t>
  </si>
  <si>
    <t>Geometrische Bemessungswerte für Schlitzpässe, Beckenpässe etc.</t>
  </si>
  <si>
    <r>
      <t xml:space="preserve">M509: Bei Schlitzpässen wird für Q30 das </t>
    </r>
    <r>
      <rPr>
        <b/>
        <i/>
        <sz val="9"/>
        <color indexed="8"/>
        <rFont val="Symbol"/>
        <family val="1"/>
        <charset val="2"/>
      </rPr>
      <t>D</t>
    </r>
    <r>
      <rPr>
        <b/>
        <i/>
        <sz val="9"/>
        <color indexed="8"/>
        <rFont val="Calibri"/>
        <family val="2"/>
      </rPr>
      <t>h ohne Berücksichtigung von</t>
    </r>
  </si>
  <si>
    <t>Wert im Schlitz ohne Schwelle (in Formel in Spalte Qges einprogrammiert)</t>
  </si>
  <si>
    <t>max.</t>
  </si>
  <si>
    <t>min.</t>
  </si>
  <si>
    <t>Länge Kolk Nachbettsicherung [m]:</t>
  </si>
  <si>
    <t>Tiefe Kolk Nachbettsicherung [m]:</t>
  </si>
  <si>
    <t>Sohl-höhe oberh. Riegel [müNN]</t>
  </si>
  <si>
    <t>Sohl-höhe unterh. Riegel [müNN]</t>
  </si>
  <si>
    <r>
      <rPr>
        <sz val="12"/>
        <rFont val="Arial"/>
        <family val="2"/>
      </rPr>
      <t>Q</t>
    </r>
    <r>
      <rPr>
        <b/>
        <vertAlign val="subscript"/>
        <sz val="12"/>
        <rFont val="Arial"/>
        <family val="2"/>
      </rPr>
      <t>Ü</t>
    </r>
    <r>
      <rPr>
        <b/>
        <sz val="10"/>
        <rFont val="Arial"/>
        <family val="2"/>
      </rPr>
      <t xml:space="preserve"> Riegel-krone [m</t>
    </r>
    <r>
      <rPr>
        <b/>
        <vertAlign val="superscript"/>
        <sz val="10"/>
        <rFont val="Arial"/>
        <family val="2"/>
      </rPr>
      <t>3</t>
    </r>
    <r>
      <rPr>
        <b/>
        <sz val="10"/>
        <rFont val="Arial"/>
        <family val="2"/>
      </rPr>
      <t>/s]</t>
    </r>
  </si>
  <si>
    <t>C    für unvoll-/vollk. Über-fall Trenn-wände</t>
  </si>
  <si>
    <t>abs. Körper-höhe [m]</t>
  </si>
  <si>
    <t>abs. Körper-dicke [m]</t>
  </si>
  <si>
    <r>
      <rPr>
        <b/>
        <sz val="10.5"/>
        <color indexed="8"/>
        <rFont val="Calibri"/>
        <family val="2"/>
      </rPr>
      <t>Breite  Einengung (L &gt; 2m)</t>
    </r>
    <r>
      <rPr>
        <sz val="10.5"/>
        <color indexed="8"/>
        <rFont val="Calibri"/>
        <family val="2"/>
      </rPr>
      <t>:
b</t>
    </r>
    <r>
      <rPr>
        <vertAlign val="subscript"/>
        <sz val="11"/>
        <color indexed="8"/>
        <rFont val="Calibri"/>
        <family val="2"/>
      </rPr>
      <t>min</t>
    </r>
    <r>
      <rPr>
        <sz val="10.5"/>
        <color indexed="8"/>
        <rFont val="Calibri"/>
        <family val="2"/>
      </rPr>
      <t xml:space="preserve"> </t>
    </r>
    <r>
      <rPr>
        <sz val="11"/>
        <color indexed="8"/>
        <rFont val="Calibri"/>
        <family val="2"/>
      </rPr>
      <t>≥ 9•dFisch [m]</t>
    </r>
  </si>
  <si>
    <t>Breite Schupf-loch konv. Becken-pass [m]</t>
  </si>
  <si>
    <r>
      <rPr>
        <b/>
        <sz val="10.5"/>
        <color indexed="8"/>
        <rFont val="Calibri"/>
        <family val="2"/>
      </rPr>
      <t>Breite Einengung</t>
    </r>
    <r>
      <rPr>
        <sz val="10.5"/>
        <color indexed="8"/>
        <rFont val="Calibri"/>
        <family val="2"/>
      </rPr>
      <t xml:space="preserve"> (L </t>
    </r>
    <r>
      <rPr>
        <sz val="10.5"/>
        <color indexed="8"/>
        <rFont val="Calibri"/>
        <family val="2"/>
      </rPr>
      <t>≤</t>
    </r>
    <r>
      <rPr>
        <sz val="10.5"/>
        <color indexed="8"/>
        <rFont val="Calibri"/>
        <family val="2"/>
      </rPr>
      <t xml:space="preserve"> 2m):
b</t>
    </r>
    <r>
      <rPr>
        <vertAlign val="subscript"/>
        <sz val="11"/>
        <color indexed="8"/>
        <rFont val="Calibri"/>
        <family val="2"/>
      </rPr>
      <t xml:space="preserve">min </t>
    </r>
    <r>
      <rPr>
        <sz val="11"/>
        <color indexed="8"/>
        <rFont val="Calibri"/>
        <family val="2"/>
      </rPr>
      <t>≥ 6•dFisch [m]</t>
    </r>
  </si>
  <si>
    <t>Dimensionierung von Raugerinnen mit Beckenstruktur sowie Raugerinne-Beckenpässen</t>
  </si>
  <si>
    <t>Dimensionierung von Schlitzpässen (Vertical-Slot-Pässen)</t>
  </si>
  <si>
    <t>Dimensionierung von technischen Beckenpässen</t>
  </si>
  <si>
    <t xml:space="preserve">0,9 bei Schlitzpässen mit kleinen Durchlassöffnungen (&lt; 0,3 m), großen Wartungsintervallen (siehe.4.8) etc. </t>
  </si>
  <si>
    <t xml:space="preserve">0,95 bei Schlitzpässen mit großen Wartungsintervallen(siehe.4.8)  /erhöhter Verlegungsgefahr, </t>
  </si>
  <si>
    <r>
      <t>(hier in M509: P</t>
    </r>
    <r>
      <rPr>
        <vertAlign val="subscript"/>
        <sz val="10.5"/>
        <color indexed="8"/>
        <rFont val="Calibri"/>
        <family val="2"/>
      </rPr>
      <t>D</t>
    </r>
    <r>
      <rPr>
        <sz val="10.5"/>
        <color indexed="8"/>
        <rFont val="Calibri"/>
        <family val="2"/>
      </rPr>
      <t>= Sp*Grenzwert)</t>
    </r>
  </si>
  <si>
    <r>
      <t>h</t>
    </r>
    <r>
      <rPr>
        <b/>
        <vertAlign val="subscript"/>
        <sz val="10"/>
        <rFont val="Arial"/>
        <family val="2"/>
      </rPr>
      <t>D,min</t>
    </r>
    <r>
      <rPr>
        <b/>
        <sz val="10"/>
        <rFont val="Arial"/>
        <family val="2"/>
      </rPr>
      <t xml:space="preserve"> (hu Schlitzschwelle) [m]</t>
    </r>
  </si>
  <si>
    <t>hD, min
 (hu Schlitzschwelle) [m]</t>
  </si>
  <si>
    <r>
      <t>zulässige brutto-Beckenlänge</t>
    </r>
    <r>
      <rPr>
        <b/>
        <sz val="12"/>
        <color indexed="8"/>
        <rFont val="Calibri"/>
        <family val="2"/>
      </rPr>
      <t>*</t>
    </r>
    <r>
      <rPr>
        <sz val="11"/>
        <color theme="1"/>
        <rFont val="Calibri"/>
        <family val="2"/>
        <scheme val="minor"/>
      </rPr>
      <t xml:space="preserve"> [m]</t>
    </r>
  </si>
  <si>
    <t>ca. zulässige Beckenbreite * [m]</t>
  </si>
  <si>
    <t>Wasserspiegel Oberwasser [müNN]</t>
  </si>
  <si>
    <t>Sohlhöhe an Grundschütz/Tauchw. [müNN]</t>
  </si>
  <si>
    <t>Berechnung des Abflusses unter einer Tauchwand oder Schütztafel mittels Grundstrahl-Formel</t>
  </si>
  <si>
    <r>
      <t>h</t>
    </r>
    <r>
      <rPr>
        <b/>
        <vertAlign val="subscript"/>
        <sz val="10.5"/>
        <color indexed="8"/>
        <rFont val="Calibri"/>
        <family val="2"/>
      </rPr>
      <t>D,min.</t>
    </r>
    <r>
      <rPr>
        <b/>
        <sz val="10.5"/>
        <color indexed="8"/>
        <rFont val="Calibri"/>
        <family val="2"/>
      </rPr>
      <t xml:space="preserve">  Eng-stelle *) [m]</t>
    </r>
  </si>
  <si>
    <t>Länge adulter Exemplare des Standorts [m]</t>
  </si>
  <si>
    <t>Körperdicken und Körperhöhen (soweit verfügbar) nach Friedl und Walter, 2017 in SVK-2017. Ansonsten (blaue Felder) nach DWA M509</t>
  </si>
  <si>
    <r>
      <t>absolute Körper-höhe</t>
    </r>
    <r>
      <rPr>
        <vertAlign val="superscript"/>
        <sz val="10.5"/>
        <color indexed="8"/>
        <rFont val="Calibri"/>
        <family val="2"/>
      </rPr>
      <t xml:space="preserve">1 </t>
    </r>
    <r>
      <rPr>
        <sz val="10.5"/>
        <color indexed="8"/>
        <rFont val="Calibri"/>
        <family val="2"/>
      </rPr>
      <t xml:space="preserve">
[m]</t>
    </r>
  </si>
  <si>
    <r>
      <t>absolute Körper-dicke</t>
    </r>
    <r>
      <rPr>
        <vertAlign val="superscript"/>
        <sz val="10.5"/>
        <color indexed="8"/>
        <rFont val="Calibri"/>
        <family val="2"/>
      </rPr>
      <t>1</t>
    </r>
    <r>
      <rPr>
        <sz val="10.5"/>
        <color indexed="8"/>
        <rFont val="Calibri"/>
        <family val="2"/>
      </rPr>
      <t xml:space="preserve">
 [m]</t>
    </r>
  </si>
  <si>
    <r>
      <rPr>
        <vertAlign val="superscript"/>
        <sz val="10.5"/>
        <color indexed="8"/>
        <rFont val="Calibri"/>
        <family val="2"/>
      </rPr>
      <t>1</t>
    </r>
    <r>
      <rPr>
        <sz val="10.5"/>
        <color indexed="8"/>
        <rFont val="Calibri"/>
        <family val="2"/>
      </rPr>
      <t>: blau hinterlegte Werte sind relative Fischhöhen bzw. Fischdicken</t>
    </r>
  </si>
  <si>
    <t>Werte gem. Friedl &amp; Walter, SVK, 2017</t>
  </si>
  <si>
    <t>Länge adulter Exem-plare [m]</t>
  </si>
  <si>
    <t>Hydraulische Bemessungswerte für Raugerinne ohne Einbauten</t>
  </si>
  <si>
    <t>Zulässige mittlere Fließgeschwindigkeit auf Raugerinnen ohne Einbauten [m/s]</t>
  </si>
  <si>
    <r>
      <t>Grenzwerte für die mittlere Fließgeschwindigkeit v</t>
    </r>
    <r>
      <rPr>
        <vertAlign val="subscript"/>
        <sz val="12"/>
        <color indexed="23"/>
        <rFont val="Calibri"/>
        <family val="2"/>
      </rPr>
      <t>m</t>
    </r>
    <r>
      <rPr>
        <sz val="10.5"/>
        <color indexed="23"/>
        <rFont val="Calibri"/>
        <family val="2"/>
      </rPr>
      <t xml:space="preserve"> [m/s] im Wanderkorridor von gerinneartiger Fischaufstiegsanlagen und fischpassierbarer Bauwerke, DWA M509 Tabelle 18:</t>
    </r>
  </si>
  <si>
    <t>Raugerinne ohne Einbauten</t>
  </si>
  <si>
    <t>Alternativ: Körpermaße nach Friedl &amp; Walter, Vortrag SVK-Tagung 2017</t>
  </si>
  <si>
    <t xml:space="preserve">     </t>
  </si>
  <si>
    <r>
      <t>Breite kurzer Einengung (bis 2m):
b</t>
    </r>
    <r>
      <rPr>
        <vertAlign val="subscript"/>
        <sz val="11"/>
        <color indexed="8"/>
        <rFont val="Calibri"/>
        <family val="2"/>
      </rPr>
      <t xml:space="preserve">min </t>
    </r>
    <r>
      <rPr>
        <sz val="11"/>
        <color indexed="8"/>
        <rFont val="Calibri"/>
        <family val="2"/>
      </rPr>
      <t>≥ 6•dFisch [m]</t>
    </r>
  </si>
  <si>
    <t>Bemessungswerte Beckenbauweisen</t>
  </si>
  <si>
    <t>tats.Länge adul-ter Exem-plare [m]</t>
  </si>
  <si>
    <t>Ausgabefeld</t>
  </si>
  <si>
    <t>heff [m]</t>
  </si>
  <si>
    <r>
      <t xml:space="preserve">Böschungsneigung links [h/b] </t>
    </r>
    <r>
      <rPr>
        <b/>
        <sz val="10"/>
        <rFont val="Arial"/>
        <family val="2"/>
      </rPr>
      <t>1:</t>
    </r>
  </si>
  <si>
    <r>
      <t xml:space="preserve">Böschungsneigung rechts [h/b] </t>
    </r>
    <r>
      <rPr>
        <b/>
        <sz val="10"/>
        <rFont val="Arial"/>
        <family val="2"/>
      </rPr>
      <t>1:</t>
    </r>
  </si>
  <si>
    <t>Störsteine, Höhe über Sohle [m]</t>
  </si>
  <si>
    <t>Störsteine, Abstand in Fließrichtung (Mitte-Mitte) [m]</t>
  </si>
  <si>
    <t>Störsteine, Querabstand (Mitte-Mitte) [m], bei nur 1 Stein im Querprofil entspricht Wert der Gerinnebreite (siehe Krüger &amp; Heimerl)</t>
  </si>
  <si>
    <t>max. Anzahl Störsteine im Querprofil</t>
  </si>
  <si>
    <t>=1,0 für zylinderförmige und runde Störsteine / 1,2 für quaderförmige und kantige Störsteine</t>
  </si>
  <si>
    <t>q</t>
  </si>
  <si>
    <t>Länge Berechnungsabschnitt [m]</t>
  </si>
  <si>
    <t>Gültigkeitsprüfung  Sohlengefälle</t>
  </si>
  <si>
    <t>Gültigkeitsprüfung Berechnungsweg wg. Steinabständen</t>
  </si>
  <si>
    <t>Gültigkeitsprüfung Wassertiefe</t>
  </si>
  <si>
    <t>mit Prüfung, ob Wasserspiegel &gt; Steinhöhe (--&gt; dann Steinhöhe • Steinbreite, sonst Wassertiefe • Steinbreite)</t>
  </si>
  <si>
    <t>durchflossene Querschnittsfläche im unverbauten Abschnitt</t>
  </si>
  <si>
    <t>lichter Steinabstand in Fließrichtung [m]</t>
  </si>
  <si>
    <t>lichter Steinabstand quer zur Fließrichtung [m]</t>
  </si>
  <si>
    <t>hydr. Radius [m]</t>
  </si>
  <si>
    <t>Anzahl Störsteine im Berechnungsabschnitt [-]</t>
  </si>
  <si>
    <t>Anzahl Steinreihen im Berechnungsabschnitt [-]</t>
  </si>
  <si>
    <r>
      <t xml:space="preserve">Volumenanteil Störsteine </t>
    </r>
    <r>
      <rPr>
        <b/>
        <sz val="12"/>
        <rFont val="Symbol"/>
        <family val="1"/>
        <charset val="2"/>
      </rPr>
      <t></t>
    </r>
    <r>
      <rPr>
        <vertAlign val="subscript"/>
        <sz val="10"/>
        <rFont val="Arial"/>
        <family val="2"/>
      </rPr>
      <t>v</t>
    </r>
  </si>
  <si>
    <r>
      <t xml:space="preserve">Grundflächenanteil Störsteine </t>
    </r>
    <r>
      <rPr>
        <b/>
        <sz val="12"/>
        <rFont val="Symbol"/>
        <family val="1"/>
        <charset val="2"/>
      </rPr>
      <t></t>
    </r>
    <r>
      <rPr>
        <vertAlign val="subscript"/>
        <sz val="10"/>
        <rFont val="Arial"/>
        <family val="2"/>
      </rPr>
      <t>o</t>
    </r>
  </si>
  <si>
    <r>
      <t xml:space="preserve">Korrekturbeiwert </t>
    </r>
    <r>
      <rPr>
        <b/>
        <sz val="10"/>
        <rFont val="Arial"/>
        <family val="2"/>
      </rPr>
      <t>k</t>
    </r>
    <r>
      <rPr>
        <sz val="10"/>
        <rFont val="Arial"/>
        <family val="2"/>
      </rPr>
      <t xml:space="preserve"> zu </t>
    </r>
    <r>
      <rPr>
        <sz val="10"/>
        <rFont val="Symbol"/>
        <family val="1"/>
        <charset val="2"/>
      </rPr>
      <t>b</t>
    </r>
  </si>
  <si>
    <t>siehe M509, Verdeckung ergibt sich aus dem angeströmten Anteil der Steinflächen, Fv= angeströmte Steinbreite / Steinbreite</t>
  </si>
  <si>
    <r>
      <t xml:space="preserve">Rechenwert Anströmbeiwert </t>
    </r>
    <r>
      <rPr>
        <b/>
        <sz val="10"/>
        <rFont val="Symbol"/>
        <family val="1"/>
        <charset val="2"/>
      </rPr>
      <t>b</t>
    </r>
  </si>
  <si>
    <r>
      <t xml:space="preserve">Eingabe Anströmbeiwert </t>
    </r>
    <r>
      <rPr>
        <b/>
        <sz val="10"/>
        <rFont val="Symbol"/>
        <family val="1"/>
        <charset val="2"/>
      </rPr>
      <t>b</t>
    </r>
  </si>
  <si>
    <t>Wert ist einzugeben und zu korrigieren, bis er mit dem Rechenwert übereinstimmt. Iteration kann mittels Add-In unter Daten/Solver automatisiert werden.</t>
  </si>
  <si>
    <t>Anforderungen siehe DWA M 509, und Tabellenblatt "Bemessungswerte Raugerinne"</t>
  </si>
  <si>
    <r>
      <t>absolute Körper-höhe</t>
    </r>
    <r>
      <rPr>
        <b/>
        <vertAlign val="superscript"/>
        <sz val="10.5"/>
        <color indexed="8"/>
        <rFont val="Calibri"/>
        <family val="2"/>
      </rPr>
      <t xml:space="preserve">1 </t>
    </r>
    <r>
      <rPr>
        <sz val="10.5"/>
        <color indexed="8"/>
        <rFont val="Calibri"/>
        <family val="2"/>
      </rPr>
      <t xml:space="preserve">
[m]</t>
    </r>
  </si>
  <si>
    <r>
      <t>absolute Körper-dicke</t>
    </r>
    <r>
      <rPr>
        <b/>
        <vertAlign val="superscript"/>
        <sz val="10.5"/>
        <color indexed="8"/>
        <rFont val="Calibri"/>
        <family val="2"/>
      </rPr>
      <t>1</t>
    </r>
    <r>
      <rPr>
        <sz val="10.5"/>
        <color indexed="8"/>
        <rFont val="Calibri"/>
        <family val="2"/>
      </rPr>
      <t xml:space="preserve">
 [m]</t>
    </r>
  </si>
  <si>
    <r>
      <rPr>
        <b/>
        <vertAlign val="superscript"/>
        <sz val="10.5"/>
        <color indexed="8"/>
        <rFont val="Calibri"/>
        <family val="2"/>
      </rPr>
      <t>1</t>
    </r>
    <r>
      <rPr>
        <b/>
        <sz val="10.5"/>
        <color indexed="8"/>
        <rFont val="Calibri"/>
        <family val="2"/>
      </rPr>
      <t>: blau hinterlegte Werte sind relative Fischhöhen bzw. Fischdicken nach DWA M509</t>
    </r>
  </si>
  <si>
    <t xml:space="preserve">Werte gem. M509 </t>
  </si>
  <si>
    <t>Friedl&amp;Walter</t>
  </si>
  <si>
    <t>Version 2.2 (M509, Weißdruck berücksichtigt)</t>
  </si>
  <si>
    <t>Stand 02/2021</t>
  </si>
  <si>
    <t xml:space="preserve"> unter "Umwelt" / "Gewässer- und Bodenschutz" / "Gewässerbeschaffenheit" / "Links und Downloads"</t>
  </si>
  <si>
    <r>
      <t xml:space="preserve">Min. lichter Abst. Stör-steine quer </t>
    </r>
    <r>
      <rPr>
        <b/>
        <sz val="10.5"/>
        <color theme="1"/>
        <rFont val="Calibri"/>
        <family val="2"/>
        <scheme val="minor"/>
      </rPr>
      <t>ay-ds [m]</t>
    </r>
    <r>
      <rPr>
        <sz val="10.5"/>
        <color theme="1"/>
        <rFont val="Calibri"/>
        <family val="2"/>
        <scheme val="minor"/>
      </rPr>
      <t xml:space="preserve">
</t>
    </r>
    <r>
      <rPr>
        <sz val="10.5"/>
        <color indexed="8"/>
        <rFont val="Calibri"/>
        <family val="2"/>
      </rPr>
      <t>Achtung: zusätzl. 
ay ≥ 0,9 • ax</t>
    </r>
  </si>
  <si>
    <t>Grenzwerte für Fließgeschwindigkeiten [m/s] in beckenartigen FAA, DWA M509 Tabelle 17:</t>
  </si>
  <si>
    <r>
      <rPr>
        <sz val="10.5"/>
        <color theme="0" tint="-0.499984740745262"/>
        <rFont val="Calibri"/>
        <family val="2"/>
        <scheme val="minor"/>
      </rPr>
      <t>Grenzwerte für die Leistungsdichte [W/m</t>
    </r>
    <r>
      <rPr>
        <vertAlign val="superscript"/>
        <sz val="10.5"/>
        <color theme="0" tint="-0.499984740745262"/>
        <rFont val="Calibri"/>
        <family val="2"/>
      </rPr>
      <t>3</t>
    </r>
    <r>
      <rPr>
        <sz val="10.5"/>
        <color theme="0" tint="-0.499984740745262"/>
        <rFont val="Calibri"/>
        <family val="2"/>
      </rPr>
      <t>], DWA M509 Tabelle 21</t>
    </r>
  </si>
  <si>
    <t>↓ Störsteinbauweise ↓</t>
  </si>
  <si>
    <t>Q [l/s]</t>
  </si>
  <si>
    <t>A [m2]</t>
  </si>
  <si>
    <t>v[m/s]</t>
  </si>
  <si>
    <t>Entwurf</t>
  </si>
  <si>
    <t>V min</t>
  </si>
  <si>
    <t>Verfasser: Wolfgang Kleef (RP Darmstadt, Dez. Oberflächengewässer)</t>
  </si>
  <si>
    <r>
      <t>Gefälle des Gerinnes</t>
    </r>
    <r>
      <rPr>
        <b/>
        <sz val="11"/>
        <color theme="1"/>
        <rFont val="Calibri"/>
        <family val="2"/>
        <scheme val="minor"/>
      </rPr>
      <t xml:space="preserve"> [</t>
    </r>
    <r>
      <rPr>
        <b/>
        <sz val="10"/>
        <rFont val="Symbol"/>
        <family val="1"/>
        <charset val="2"/>
      </rPr>
      <t>D</t>
    </r>
    <r>
      <rPr>
        <b/>
        <sz val="10"/>
        <rFont val="Arial"/>
        <family val="2"/>
      </rPr>
      <t>h/L] 1:</t>
    </r>
  </si>
  <si>
    <r>
      <t>vorgesehene Wassertiefe</t>
    </r>
    <r>
      <rPr>
        <b/>
        <sz val="10"/>
        <rFont val="Arial"/>
        <family val="2"/>
      </rPr>
      <t xml:space="preserve"> hm</t>
    </r>
    <r>
      <rPr>
        <sz val="10"/>
        <rFont val="Arial"/>
        <family val="2"/>
      </rPr>
      <t xml:space="preserve"> im Gerinne [m]</t>
    </r>
  </si>
  <si>
    <r>
      <t xml:space="preserve">Gerinne, Sohlbreite </t>
    </r>
    <r>
      <rPr>
        <b/>
        <sz val="11"/>
        <color theme="1"/>
        <rFont val="Calibri"/>
        <family val="2"/>
        <scheme val="minor"/>
      </rPr>
      <t>bs</t>
    </r>
    <r>
      <rPr>
        <sz val="11"/>
        <color theme="1"/>
        <rFont val="Calibri"/>
        <family val="2"/>
        <scheme val="minor"/>
      </rPr>
      <t xml:space="preserve"> [m]</t>
    </r>
  </si>
  <si>
    <r>
      <t xml:space="preserve">Sohlrauhigkeit des Gerinnes </t>
    </r>
    <r>
      <rPr>
        <b/>
        <sz val="11"/>
        <color theme="1"/>
        <rFont val="Calibri"/>
        <family val="2"/>
        <scheme val="minor"/>
      </rPr>
      <t>k</t>
    </r>
    <r>
      <rPr>
        <b/>
        <vertAlign val="subscript"/>
        <sz val="11"/>
        <color theme="1"/>
        <rFont val="Calibri"/>
        <family val="2"/>
        <scheme val="minor"/>
      </rPr>
      <t>s</t>
    </r>
    <r>
      <rPr>
        <b/>
        <sz val="11"/>
        <color theme="1"/>
        <rFont val="Calibri"/>
        <family val="2"/>
        <scheme val="minor"/>
      </rPr>
      <t xml:space="preserve"> </t>
    </r>
    <r>
      <rPr>
        <sz val="11"/>
        <color theme="1"/>
        <rFont val="Calibri"/>
        <family val="2"/>
        <scheme val="minor"/>
      </rPr>
      <t>[m]</t>
    </r>
  </si>
  <si>
    <r>
      <t>≈</t>
    </r>
    <r>
      <rPr>
        <sz val="11"/>
        <color theme="1"/>
        <rFont val="Calibri"/>
        <family val="2"/>
        <scheme val="minor"/>
      </rPr>
      <t>d</t>
    </r>
    <r>
      <rPr>
        <vertAlign val="subscript"/>
        <sz val="13"/>
        <color theme="1"/>
        <rFont val="Calibri"/>
        <family val="2"/>
        <scheme val="minor"/>
      </rPr>
      <t>s</t>
    </r>
    <r>
      <rPr>
        <vertAlign val="subscript"/>
        <sz val="12"/>
        <color theme="1"/>
        <rFont val="Calibri"/>
        <family val="2"/>
        <scheme val="minor"/>
      </rPr>
      <t xml:space="preserve"> </t>
    </r>
    <r>
      <rPr>
        <sz val="12"/>
        <color theme="1"/>
        <rFont val="Calibri"/>
        <family val="2"/>
        <scheme val="minor"/>
      </rPr>
      <t>für Schüttungen aus gebrochenen Steinen</t>
    </r>
    <r>
      <rPr>
        <sz val="11"/>
        <color theme="1"/>
        <rFont val="Calibri"/>
        <family val="2"/>
        <scheme val="minor"/>
      </rPr>
      <t xml:space="preserve"> (für LMB 5/40 ist ks = 0,30 m angegeben),   (</t>
    </r>
    <r>
      <rPr>
        <sz val="11"/>
        <color theme="1"/>
        <rFont val="Tahoma"/>
        <family val="2"/>
      </rPr>
      <t>≈</t>
    </r>
    <r>
      <rPr>
        <sz val="8.6999999999999993"/>
        <color theme="1"/>
        <rFont val="Calibri"/>
        <family val="2"/>
      </rPr>
      <t xml:space="preserve"> </t>
    </r>
    <r>
      <rPr>
        <sz val="11"/>
        <color theme="1"/>
        <rFont val="Calibri"/>
        <family val="2"/>
        <scheme val="minor"/>
      </rPr>
      <t>d</t>
    </r>
    <r>
      <rPr>
        <vertAlign val="subscript"/>
        <sz val="14"/>
        <color theme="1"/>
        <rFont val="Calibri"/>
        <family val="2"/>
        <scheme val="minor"/>
      </rPr>
      <t>s</t>
    </r>
    <r>
      <rPr>
        <sz val="11"/>
        <color theme="1"/>
        <rFont val="Calibri"/>
        <family val="2"/>
        <scheme val="minor"/>
      </rPr>
      <t>/2 für Schüttungen aus gerundeten Steinen), ansonsten siehe auch unten rechts)</t>
    </r>
  </si>
  <si>
    <r>
      <t>Kantenlänge der Störsteine</t>
    </r>
    <r>
      <rPr>
        <b/>
        <sz val="11"/>
        <color theme="1"/>
        <rFont val="Calibri"/>
        <family val="2"/>
        <scheme val="minor"/>
      </rPr>
      <t xml:space="preserve"> d</t>
    </r>
    <r>
      <rPr>
        <b/>
        <vertAlign val="subscript"/>
        <sz val="11"/>
        <color theme="1"/>
        <rFont val="Calibri"/>
        <family val="2"/>
        <scheme val="minor"/>
      </rPr>
      <t>s</t>
    </r>
    <r>
      <rPr>
        <sz val="11"/>
        <color theme="1"/>
        <rFont val="Calibri"/>
        <family val="2"/>
        <scheme val="minor"/>
      </rPr>
      <t xml:space="preserve"> [m]</t>
    </r>
  </si>
  <si>
    <r>
      <t>Störsteine, Abstand in Fließrichtung</t>
    </r>
    <r>
      <rPr>
        <b/>
        <sz val="10"/>
        <rFont val="Arial"/>
        <family val="2"/>
      </rPr>
      <t xml:space="preserve"> a</t>
    </r>
    <r>
      <rPr>
        <b/>
        <vertAlign val="subscript"/>
        <sz val="10"/>
        <rFont val="Arial"/>
        <family val="2"/>
      </rPr>
      <t>x</t>
    </r>
    <r>
      <rPr>
        <sz val="10"/>
        <rFont val="Arial"/>
        <family val="2"/>
      </rPr>
      <t xml:space="preserve"> [m]</t>
    </r>
  </si>
  <si>
    <r>
      <t>Störsteine, Querabstand</t>
    </r>
    <r>
      <rPr>
        <b/>
        <sz val="11"/>
        <color theme="1"/>
        <rFont val="Calibri"/>
        <family val="2"/>
        <scheme val="minor"/>
      </rPr>
      <t xml:space="preserve"> a</t>
    </r>
    <r>
      <rPr>
        <b/>
        <vertAlign val="subscript"/>
        <sz val="11"/>
        <color theme="1"/>
        <rFont val="Calibri"/>
        <family val="2"/>
        <scheme val="minor"/>
      </rPr>
      <t>y</t>
    </r>
    <r>
      <rPr>
        <sz val="11"/>
        <color theme="1"/>
        <rFont val="Calibri"/>
        <family val="2"/>
        <scheme val="minor"/>
      </rPr>
      <t xml:space="preserve"> [m]</t>
    </r>
  </si>
  <si>
    <r>
      <t xml:space="preserve">Formwiderstandsbeiwert der Störsteine </t>
    </r>
    <r>
      <rPr>
        <b/>
        <sz val="11"/>
        <color theme="1"/>
        <rFont val="Calibri"/>
        <family val="2"/>
        <scheme val="minor"/>
      </rPr>
      <t>C</t>
    </r>
    <r>
      <rPr>
        <b/>
        <vertAlign val="subscript"/>
        <sz val="10"/>
        <rFont val="Arial"/>
        <family val="2"/>
      </rPr>
      <t>W</t>
    </r>
    <r>
      <rPr>
        <sz val="10"/>
        <rFont val="Arial"/>
        <family val="2"/>
      </rPr>
      <t xml:space="preserve">-Wert </t>
    </r>
  </si>
  <si>
    <r>
      <t xml:space="preserve">Grundfläche Störsteine quadratisch oder rund oder zylindrisch?  </t>
    </r>
    <r>
      <rPr>
        <b/>
        <sz val="10"/>
        <rFont val="Arial"/>
        <family val="2"/>
      </rPr>
      <t>q / r / z</t>
    </r>
  </si>
  <si>
    <r>
      <t xml:space="preserve">werden Steine umströmt oder überströmt? </t>
    </r>
    <r>
      <rPr>
        <b/>
        <sz val="10"/>
        <rFont val="Arial"/>
        <family val="2"/>
      </rPr>
      <t xml:space="preserve"> u / ü</t>
    </r>
  </si>
  <si>
    <r>
      <t>pro Stein angeströmte Fläche</t>
    </r>
    <r>
      <rPr>
        <b/>
        <sz val="11"/>
        <color theme="1"/>
        <rFont val="Calibri"/>
        <family val="2"/>
        <scheme val="minor"/>
      </rPr>
      <t xml:space="preserve"> A</t>
    </r>
    <r>
      <rPr>
        <b/>
        <vertAlign val="subscript"/>
        <sz val="11"/>
        <color theme="1"/>
        <rFont val="Calibri"/>
        <family val="2"/>
        <scheme val="minor"/>
      </rPr>
      <t>s</t>
    </r>
    <r>
      <rPr>
        <sz val="11"/>
        <color theme="1"/>
        <rFont val="Calibri"/>
        <family val="2"/>
        <scheme val="minor"/>
      </rPr>
      <t xml:space="preserve"> [m</t>
    </r>
    <r>
      <rPr>
        <vertAlign val="superscript"/>
        <sz val="10"/>
        <rFont val="Arial"/>
        <family val="2"/>
      </rPr>
      <t>2</t>
    </r>
    <r>
      <rPr>
        <sz val="10"/>
        <rFont val="Arial"/>
        <family val="2"/>
      </rPr>
      <t>]</t>
    </r>
  </si>
  <si>
    <r>
      <t xml:space="preserve">Fließfläche </t>
    </r>
    <r>
      <rPr>
        <b/>
        <sz val="10"/>
        <rFont val="Arial"/>
        <family val="2"/>
      </rPr>
      <t xml:space="preserve"> A</t>
    </r>
    <r>
      <rPr>
        <b/>
        <vertAlign val="subscript"/>
        <sz val="10"/>
        <rFont val="Arial"/>
        <family val="2"/>
      </rPr>
      <t>F</t>
    </r>
    <r>
      <rPr>
        <sz val="10"/>
        <rFont val="Arial"/>
        <family val="2"/>
      </rPr>
      <t xml:space="preserve"> [m]</t>
    </r>
  </si>
  <si>
    <r>
      <t>benetzter Gerinneumfang</t>
    </r>
    <r>
      <rPr>
        <b/>
        <sz val="11"/>
        <color theme="1"/>
        <rFont val="Calibri"/>
        <family val="2"/>
        <scheme val="minor"/>
      </rPr>
      <t xml:space="preserve"> l</t>
    </r>
    <r>
      <rPr>
        <b/>
        <vertAlign val="subscript"/>
        <sz val="10"/>
        <rFont val="Arial"/>
        <family val="2"/>
      </rPr>
      <t>U</t>
    </r>
    <r>
      <rPr>
        <sz val="10"/>
        <rFont val="Arial"/>
        <family val="2"/>
      </rPr>
      <t xml:space="preserve"> [m]</t>
    </r>
  </si>
  <si>
    <r>
      <t>Vorschlag für Verdeckungsgrad</t>
    </r>
    <r>
      <rPr>
        <b/>
        <sz val="11"/>
        <color theme="1"/>
        <rFont val="Calibri"/>
        <family val="2"/>
        <scheme val="minor"/>
      </rPr>
      <t xml:space="preserve"> Fv</t>
    </r>
  </si>
  <si>
    <r>
      <t xml:space="preserve">Wasserspiegelbreite </t>
    </r>
    <r>
      <rPr>
        <b/>
        <sz val="11"/>
        <color theme="1"/>
        <rFont val="Calibri"/>
        <family val="2"/>
        <scheme val="minor"/>
      </rPr>
      <t>bsp</t>
    </r>
    <r>
      <rPr>
        <sz val="11"/>
        <color theme="1"/>
        <rFont val="Calibri"/>
        <family val="2"/>
        <scheme val="minor"/>
      </rPr>
      <t xml:space="preserve"> [m]</t>
    </r>
  </si>
  <si>
    <r>
      <t>Widerstandsbeiwert Sohle</t>
    </r>
    <r>
      <rPr>
        <b/>
        <sz val="10"/>
        <rFont val="Symbol"/>
        <family val="1"/>
        <charset val="2"/>
      </rPr>
      <t xml:space="preserve"> l</t>
    </r>
    <r>
      <rPr>
        <b/>
        <vertAlign val="subscript"/>
        <sz val="10"/>
        <rFont val="Arial"/>
        <family val="2"/>
      </rPr>
      <t>o</t>
    </r>
  </si>
  <si>
    <t>=0,5 für umströmte, quaderförmige, kantige; =0,6 für umströmte zylinderförmige/runde; =0,8 für überströmte Störsteine (siehe S.176 DWA M509).</t>
  </si>
  <si>
    <r>
      <t>Faktor für Verdeckungsgrad</t>
    </r>
    <r>
      <rPr>
        <b/>
        <sz val="10"/>
        <rFont val="Arial"/>
        <family val="2"/>
      </rPr>
      <t xml:space="preserve"> Fv</t>
    </r>
  </si>
  <si>
    <r>
      <t xml:space="preserve">Summe </t>
    </r>
    <r>
      <rPr>
        <b/>
        <sz val="10"/>
        <rFont val="Arial"/>
        <family val="2"/>
      </rPr>
      <t>A</t>
    </r>
    <r>
      <rPr>
        <b/>
        <vertAlign val="subscript"/>
        <sz val="10"/>
        <rFont val="Arial"/>
        <family val="2"/>
      </rPr>
      <t>S</t>
    </r>
  </si>
  <si>
    <r>
      <t>Widerstandsbeiwert Steine</t>
    </r>
    <r>
      <rPr>
        <b/>
        <sz val="10"/>
        <rFont val="Symbol"/>
        <family val="1"/>
        <charset val="2"/>
      </rPr>
      <t xml:space="preserve"> l</t>
    </r>
    <r>
      <rPr>
        <b/>
        <vertAlign val="subscript"/>
        <sz val="10"/>
        <rFont val="Arial"/>
        <family val="2"/>
      </rPr>
      <t>s</t>
    </r>
  </si>
  <si>
    <r>
      <t>Widerstandsbeiwert, gesamt</t>
    </r>
    <r>
      <rPr>
        <b/>
        <sz val="10"/>
        <rFont val="Symbol"/>
        <family val="1"/>
        <charset val="2"/>
      </rPr>
      <t xml:space="preserve"> l</t>
    </r>
    <r>
      <rPr>
        <b/>
        <vertAlign val="subscript"/>
        <sz val="10"/>
        <rFont val="Arial"/>
        <family val="2"/>
      </rPr>
      <t>ges</t>
    </r>
  </si>
  <si>
    <r>
      <t xml:space="preserve">mittl. Fließgeschw. im unverbauten Abschnitt </t>
    </r>
    <r>
      <rPr>
        <b/>
        <sz val="10"/>
        <rFont val="Arial"/>
        <family val="2"/>
      </rPr>
      <t>v</t>
    </r>
    <r>
      <rPr>
        <b/>
        <vertAlign val="subscript"/>
        <sz val="10"/>
        <rFont val="Arial"/>
        <family val="2"/>
      </rPr>
      <t>m</t>
    </r>
    <r>
      <rPr>
        <sz val="10"/>
        <rFont val="Arial"/>
        <family val="2"/>
      </rPr>
      <t xml:space="preserve"> [m/s]</t>
    </r>
  </si>
  <si>
    <r>
      <rPr>
        <b/>
        <sz val="11"/>
        <color theme="1"/>
        <rFont val="Calibri"/>
        <family val="2"/>
        <scheme val="minor"/>
      </rPr>
      <t>Q</t>
    </r>
    <r>
      <rPr>
        <sz val="11"/>
        <color theme="1"/>
        <rFont val="Calibri"/>
        <family val="2"/>
        <scheme val="minor"/>
      </rPr>
      <t xml:space="preserve"> [m</t>
    </r>
    <r>
      <rPr>
        <vertAlign val="superscript"/>
        <sz val="10"/>
        <rFont val="Arial"/>
        <family val="2"/>
      </rPr>
      <t>3</t>
    </r>
    <r>
      <rPr>
        <sz val="10"/>
        <rFont val="Arial"/>
        <family val="2"/>
      </rPr>
      <t>/s]</t>
    </r>
  </si>
  <si>
    <r>
      <t>mittlere Fließgeschwindigkeit in den Engstellen</t>
    </r>
    <r>
      <rPr>
        <b/>
        <sz val="10"/>
        <rFont val="Arial"/>
        <family val="2"/>
      </rPr>
      <t xml:space="preserve"> V</t>
    </r>
    <r>
      <rPr>
        <b/>
        <vertAlign val="subscript"/>
        <sz val="10"/>
        <rFont val="Arial"/>
        <family val="2"/>
      </rPr>
      <t>m,E</t>
    </r>
  </si>
  <si>
    <r>
      <t>unverbauter Abschnitt Froudezahl:</t>
    </r>
    <r>
      <rPr>
        <b/>
        <sz val="11"/>
        <color theme="1"/>
        <rFont val="Calibri"/>
        <family val="2"/>
        <scheme val="minor"/>
      </rPr>
      <t xml:space="preserve"> Fr</t>
    </r>
  </si>
  <si>
    <r>
      <t xml:space="preserve">zwischen Steinen Froudezahl: </t>
    </r>
    <r>
      <rPr>
        <b/>
        <sz val="11"/>
        <color theme="1"/>
        <rFont val="Calibri"/>
        <family val="2"/>
        <scheme val="minor"/>
      </rPr>
      <t>Fr</t>
    </r>
    <r>
      <rPr>
        <b/>
        <vertAlign val="subscript"/>
        <sz val="10"/>
        <rFont val="Arial"/>
        <family val="2"/>
      </rPr>
      <t>e</t>
    </r>
  </si>
  <si>
    <r>
      <t xml:space="preserve">Spezifische Leistung </t>
    </r>
    <r>
      <rPr>
        <b/>
        <sz val="11"/>
        <color theme="1"/>
        <rFont val="Calibri"/>
        <family val="2"/>
        <scheme val="minor"/>
      </rPr>
      <t>P</t>
    </r>
    <r>
      <rPr>
        <sz val="11"/>
        <color theme="1"/>
        <rFont val="Calibri"/>
        <family val="2"/>
        <scheme val="minor"/>
      </rPr>
      <t xml:space="preserve"> [W/m</t>
    </r>
    <r>
      <rPr>
        <vertAlign val="superscript"/>
        <sz val="10"/>
        <rFont val="Arial"/>
        <family val="2"/>
      </rPr>
      <t>3</t>
    </r>
    <r>
      <rPr>
        <sz val="10"/>
        <rFont val="Arial"/>
        <family val="2"/>
      </rPr>
      <t>]</t>
    </r>
  </si>
  <si>
    <t>Berechnung von Gerinnen mit Störsteinen nach Darcy-Weißbach gemäß DWA M 509 / Krüger&amp;Heimerl 2007</t>
  </si>
  <si>
    <t xml:space="preserve">Linker Arm bei Aufteilungsbauwerk; Rampe unterhalb Kolk </t>
  </si>
  <si>
    <t xml:space="preserve">Schüttrampe mit versetzten, unregelmäßig angeordneten Störsteinen </t>
  </si>
  <si>
    <r>
      <t>Definition h</t>
    </r>
    <r>
      <rPr>
        <b/>
        <vertAlign val="subscript"/>
        <sz val="11"/>
        <color theme="1"/>
        <rFont val="Calibri"/>
        <family val="2"/>
        <scheme val="minor"/>
      </rPr>
      <t>eff</t>
    </r>
    <r>
      <rPr>
        <b/>
        <sz val="11"/>
        <color theme="1"/>
        <rFont val="Calibri"/>
        <family val="2"/>
        <scheme val="minor"/>
      </rPr>
      <t xml:space="preserve"> siehe DWA M509  /   heff = hm - ds/6</t>
    </r>
  </si>
  <si>
    <t>u</t>
  </si>
  <si>
    <r>
      <t xml:space="preserve">Störsteine regelmäßig oder unregelmäßig angeordnet? </t>
    </r>
    <r>
      <rPr>
        <b/>
        <sz val="10"/>
        <rFont val="Arial"/>
        <family val="2"/>
      </rPr>
      <t>r / u</t>
    </r>
  </si>
  <si>
    <t>neu</t>
  </si>
  <si>
    <t>nach Krüger und Heimerl ist dann ein anderer Berechnungsansatz für ß erforderlich</t>
  </si>
  <si>
    <t>Länge der Rampe (netto) [m]</t>
  </si>
  <si>
    <t>Höhendifferenz netto [m]</t>
  </si>
  <si>
    <t>Rampe darüber hinaus soweit in den Nachbettkolk führen, dass OK Störsteine unterhalb des UW-Wasserstands liegen.</t>
  </si>
  <si>
    <t>Breite der breiteren Steinreihe [m]</t>
  </si>
  <si>
    <r>
      <t>im Allgem. L=2*a</t>
    </r>
    <r>
      <rPr>
        <vertAlign val="subscript"/>
        <sz val="11"/>
        <color theme="1"/>
        <rFont val="Calibri"/>
        <family val="2"/>
        <scheme val="minor"/>
      </rPr>
      <t>x</t>
    </r>
    <r>
      <rPr>
        <sz val="11"/>
        <color theme="1"/>
        <rFont val="Calibri"/>
        <family val="2"/>
        <scheme val="minor"/>
      </rPr>
      <t xml:space="preserve">   </t>
    </r>
  </si>
  <si>
    <t>Ergänzung 2/2025</t>
  </si>
  <si>
    <t>nach M509, S.176 für umströmte oder überströmte Steine (Formeln 7.18)</t>
  </si>
  <si>
    <t xml:space="preserve">(Achtung, im Berechnungsbeispiel im DWA M 509 wurde fälschlicherweise "2" , statt "3" als Länge des Berechnungsabschnitts (3m) eingesetzt, so dass sich falsche Werte ergeben.) </t>
  </si>
  <si>
    <r>
      <t>hm = Vorgabewert für die für den Fischaufstieg nutzbare Wassertiefe h</t>
    </r>
    <r>
      <rPr>
        <b/>
        <vertAlign val="subscript"/>
        <sz val="10"/>
        <rFont val="Arial"/>
        <family val="2"/>
      </rPr>
      <t>eff,Bem</t>
    </r>
    <r>
      <rPr>
        <b/>
        <sz val="10"/>
        <rFont val="Arial"/>
        <family val="2"/>
      </rPr>
      <t xml:space="preserve"> + ks/6        (Anford.h</t>
    </r>
    <r>
      <rPr>
        <b/>
        <vertAlign val="subscript"/>
        <sz val="10"/>
        <rFont val="Arial"/>
        <family val="2"/>
      </rPr>
      <t>eff,Bem</t>
    </r>
    <r>
      <rPr>
        <b/>
        <sz val="10"/>
        <rFont val="Arial"/>
        <family val="2"/>
      </rPr>
      <t xml:space="preserve"> siehe auch Tab.34, S.175)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</si>
</sst>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
  </numFmts>
  <fonts count="114" x14ac:knownFonts="1">
    <font>
      <sz val="11"/>
      <color theme="1"/>
      <name val="Calibri"/>
      <family val="2"/>
      <scheme val="minor"/>
    </font>
    <font>
      <b/>
      <sz val="11"/>
      <color indexed="8"/>
      <name val="Calibri"/>
      <family val="2"/>
    </font>
    <font>
      <b/>
      <u/>
      <sz val="12"/>
      <name val="Arial"/>
      <family val="2"/>
    </font>
    <font>
      <sz val="10"/>
      <name val="Arial"/>
      <family val="2"/>
    </font>
    <font>
      <sz val="10"/>
      <name val="Symbol"/>
      <family val="1"/>
      <charset val="2"/>
    </font>
    <font>
      <b/>
      <sz val="10"/>
      <name val="Arial"/>
      <family val="2"/>
    </font>
    <font>
      <b/>
      <sz val="12"/>
      <name val="Symbol"/>
      <family val="1"/>
      <charset val="2"/>
    </font>
    <font>
      <b/>
      <sz val="10"/>
      <name val="Symbol"/>
      <family val="1"/>
      <charset val="2"/>
    </font>
    <font>
      <b/>
      <vertAlign val="subscript"/>
      <sz val="10"/>
      <name val="Arial"/>
      <family val="2"/>
    </font>
    <font>
      <b/>
      <sz val="11"/>
      <name val="Arial"/>
      <family val="2"/>
    </font>
    <font>
      <b/>
      <sz val="12"/>
      <name val="Arial"/>
      <family val="2"/>
    </font>
    <font>
      <b/>
      <vertAlign val="subscript"/>
      <sz val="12"/>
      <name val="Arial"/>
      <family val="2"/>
    </font>
    <font>
      <sz val="9"/>
      <name val="Arial"/>
      <family val="2"/>
    </font>
    <font>
      <b/>
      <vertAlign val="subscript"/>
      <sz val="11"/>
      <name val="Arial"/>
      <family val="2"/>
    </font>
    <font>
      <b/>
      <sz val="16"/>
      <name val="Symbol"/>
      <family val="1"/>
      <charset val="2"/>
    </font>
    <font>
      <b/>
      <sz val="16"/>
      <name val="Arial"/>
      <family val="2"/>
    </font>
    <font>
      <b/>
      <vertAlign val="superscript"/>
      <sz val="10"/>
      <name val="Arial"/>
      <family val="2"/>
    </font>
    <font>
      <b/>
      <sz val="8"/>
      <color indexed="81"/>
      <name val="Tahoma"/>
      <family val="2"/>
    </font>
    <font>
      <sz val="8"/>
      <color indexed="81"/>
      <name val="Tahoma"/>
      <family val="2"/>
    </font>
    <font>
      <b/>
      <sz val="10"/>
      <color indexed="10"/>
      <name val="Tahoma"/>
      <family val="2"/>
    </font>
    <font>
      <b/>
      <sz val="8"/>
      <color indexed="81"/>
      <name val="Symbol"/>
      <family val="1"/>
      <charset val="2"/>
    </font>
    <font>
      <b/>
      <sz val="10"/>
      <color indexed="81"/>
      <name val="Tahoma"/>
      <family val="2"/>
    </font>
    <font>
      <sz val="10"/>
      <color indexed="81"/>
      <name val="Tahoma"/>
      <family val="2"/>
    </font>
    <font>
      <b/>
      <sz val="12"/>
      <color indexed="81"/>
      <name val="Tahoma"/>
      <family val="2"/>
    </font>
    <font>
      <b/>
      <sz val="12"/>
      <color indexed="81"/>
      <name val="Symbol"/>
      <family val="1"/>
      <charset val="2"/>
    </font>
    <font>
      <b/>
      <vertAlign val="subscript"/>
      <sz val="14"/>
      <name val="Arial"/>
      <family val="2"/>
    </font>
    <font>
      <b/>
      <sz val="12"/>
      <color indexed="81"/>
      <name val="Calibri"/>
      <family val="2"/>
    </font>
    <font>
      <b/>
      <sz val="13.5"/>
      <name val="Symbol"/>
      <family val="1"/>
      <charset val="2"/>
    </font>
    <font>
      <b/>
      <sz val="14"/>
      <name val="Symbol"/>
      <family val="1"/>
      <charset val="2"/>
    </font>
    <font>
      <b/>
      <sz val="14"/>
      <name val="Arial"/>
      <family val="2"/>
    </font>
    <font>
      <sz val="9"/>
      <color indexed="81"/>
      <name val="Tahoma"/>
      <family val="2"/>
    </font>
    <font>
      <b/>
      <sz val="9"/>
      <color indexed="81"/>
      <name val="Tahoma"/>
      <family val="2"/>
    </font>
    <font>
      <sz val="11"/>
      <name val="AvenirNext LT Com Regular"/>
      <family val="2"/>
    </font>
    <font>
      <b/>
      <sz val="8"/>
      <name val="Arial"/>
      <family val="2"/>
    </font>
    <font>
      <b/>
      <vertAlign val="subscript"/>
      <sz val="8"/>
      <name val="Arial"/>
      <family val="2"/>
    </font>
    <font>
      <b/>
      <vertAlign val="subscript"/>
      <sz val="9"/>
      <color indexed="81"/>
      <name val="Tahoma"/>
      <family val="2"/>
    </font>
    <font>
      <b/>
      <sz val="9"/>
      <color indexed="81"/>
      <name val="Calibri"/>
      <family val="2"/>
    </font>
    <font>
      <b/>
      <sz val="8.1"/>
      <color indexed="81"/>
      <name val="Tahoma"/>
      <family val="2"/>
    </font>
    <font>
      <b/>
      <vertAlign val="subscript"/>
      <sz val="11"/>
      <color indexed="81"/>
      <name val="Tahoma"/>
      <family val="2"/>
    </font>
    <font>
      <b/>
      <sz val="11"/>
      <color indexed="81"/>
      <name val="Tahoma"/>
      <family val="2"/>
    </font>
    <font>
      <b/>
      <sz val="11"/>
      <color indexed="81"/>
      <name val="Symbol"/>
      <family val="1"/>
      <charset val="2"/>
    </font>
    <font>
      <b/>
      <sz val="10"/>
      <name val="Calibri"/>
      <family val="2"/>
    </font>
    <font>
      <b/>
      <sz val="12"/>
      <name val="Calibri"/>
      <family val="2"/>
    </font>
    <font>
      <sz val="11"/>
      <color indexed="8"/>
      <name val="Calibri"/>
      <family val="2"/>
    </font>
    <font>
      <b/>
      <vertAlign val="superscript"/>
      <sz val="11"/>
      <color indexed="8"/>
      <name val="Calibri"/>
      <family val="2"/>
    </font>
    <font>
      <b/>
      <vertAlign val="superscript"/>
      <sz val="11"/>
      <color indexed="81"/>
      <name val="Tahoma"/>
      <family val="2"/>
    </font>
    <font>
      <b/>
      <vertAlign val="subscript"/>
      <sz val="11"/>
      <color indexed="8"/>
      <name val="Calibri"/>
      <family val="2"/>
    </font>
    <font>
      <vertAlign val="subscript"/>
      <sz val="11"/>
      <color indexed="8"/>
      <name val="Calibri"/>
      <family val="2"/>
    </font>
    <font>
      <b/>
      <sz val="12"/>
      <color indexed="8"/>
      <name val="Calibri"/>
      <family val="2"/>
    </font>
    <font>
      <b/>
      <sz val="10.5"/>
      <color indexed="8"/>
      <name val="Calibri"/>
      <family val="2"/>
    </font>
    <font>
      <sz val="10.5"/>
      <color indexed="8"/>
      <name val="Calibri"/>
      <family val="2"/>
    </font>
    <font>
      <sz val="10.5"/>
      <color indexed="23"/>
      <name val="Calibri"/>
      <family val="2"/>
    </font>
    <font>
      <vertAlign val="subscript"/>
      <sz val="10.5"/>
      <color indexed="8"/>
      <name val="Calibri"/>
      <family val="2"/>
    </font>
    <font>
      <b/>
      <sz val="10.5"/>
      <color indexed="8"/>
      <name val="Symbol"/>
      <family val="1"/>
      <charset val="2"/>
    </font>
    <font>
      <b/>
      <vertAlign val="superscript"/>
      <sz val="10.5"/>
      <color indexed="8"/>
      <name val="Calibri"/>
      <family val="2"/>
    </font>
    <font>
      <vertAlign val="superscript"/>
      <sz val="10.5"/>
      <color indexed="23"/>
      <name val="Calibri"/>
      <family val="2"/>
    </font>
    <font>
      <vertAlign val="subscript"/>
      <sz val="12"/>
      <color indexed="23"/>
      <name val="Calibri"/>
      <family val="2"/>
    </font>
    <font>
      <b/>
      <u/>
      <sz val="10"/>
      <color indexed="81"/>
      <name val="Tahoma"/>
      <family val="2"/>
    </font>
    <font>
      <b/>
      <u/>
      <sz val="9"/>
      <color indexed="81"/>
      <name val="Tahoma"/>
      <family val="2"/>
    </font>
    <font>
      <sz val="12"/>
      <color indexed="8"/>
      <name val="Calibri"/>
      <family val="2"/>
    </font>
    <font>
      <b/>
      <vertAlign val="subscript"/>
      <sz val="10.5"/>
      <color indexed="8"/>
      <name val="Calibri"/>
      <family val="2"/>
    </font>
    <font>
      <vertAlign val="superscript"/>
      <sz val="10.5"/>
      <color indexed="8"/>
      <name val="Calibri"/>
      <family val="2"/>
    </font>
    <font>
      <b/>
      <sz val="11"/>
      <color indexed="81"/>
      <name val="Calibri"/>
      <family val="2"/>
    </font>
    <font>
      <u val="double"/>
      <sz val="9"/>
      <color indexed="81"/>
      <name val="Tahoma"/>
      <family val="2"/>
    </font>
    <font>
      <b/>
      <sz val="9"/>
      <name val="Arial"/>
      <family val="2"/>
    </font>
    <font>
      <b/>
      <sz val="11"/>
      <color indexed="60"/>
      <name val="Tahoma"/>
      <family val="2"/>
    </font>
    <font>
      <b/>
      <u/>
      <sz val="11"/>
      <color indexed="8"/>
      <name val="Calibri"/>
      <family val="2"/>
    </font>
    <font>
      <b/>
      <u/>
      <sz val="14"/>
      <color indexed="8"/>
      <name val="Calibri"/>
      <family val="2"/>
    </font>
    <font>
      <b/>
      <i/>
      <sz val="9"/>
      <color indexed="8"/>
      <name val="Calibri"/>
      <family val="2"/>
    </font>
    <font>
      <b/>
      <i/>
      <sz val="9"/>
      <color indexed="8"/>
      <name val="Symbol"/>
      <family val="1"/>
      <charset val="2"/>
    </font>
    <font>
      <b/>
      <sz val="9"/>
      <color indexed="81"/>
      <name val="Symbol"/>
      <family val="1"/>
      <charset val="2"/>
    </font>
    <font>
      <b/>
      <sz val="10"/>
      <color indexed="81"/>
      <name val="Arial"/>
      <family val="2"/>
    </font>
    <font>
      <sz val="10"/>
      <color indexed="81"/>
      <name val="Arial"/>
      <family val="2"/>
    </font>
    <font>
      <b/>
      <sz val="10"/>
      <color indexed="81"/>
      <name val="Symbol"/>
      <family val="1"/>
      <charset val="2"/>
    </font>
    <font>
      <sz val="12"/>
      <name val="Arial"/>
      <family val="2"/>
    </font>
    <font>
      <b/>
      <sz val="7"/>
      <name val="Arial"/>
      <family val="2"/>
    </font>
    <font>
      <sz val="9"/>
      <color indexed="81"/>
      <name val="Segoe UI"/>
      <family val="2"/>
    </font>
    <font>
      <b/>
      <sz val="9"/>
      <color indexed="81"/>
      <name val="Segoe UI"/>
      <family val="2"/>
    </font>
    <font>
      <vertAlign val="subscript"/>
      <sz val="10"/>
      <name val="Arial"/>
      <family val="2"/>
    </font>
    <font>
      <vertAlign val="superscript"/>
      <sz val="10"/>
      <name val="Arial"/>
      <family val="2"/>
    </font>
    <font>
      <sz val="11"/>
      <name val="Arial"/>
      <family val="2"/>
    </font>
    <font>
      <b/>
      <u/>
      <sz val="10"/>
      <name val="Arial"/>
      <family val="2"/>
    </font>
    <font>
      <b/>
      <sz val="11"/>
      <color theme="1"/>
      <name val="Calibri"/>
      <family val="2"/>
      <scheme val="minor"/>
    </font>
    <font>
      <u/>
      <sz val="11"/>
      <color theme="10"/>
      <name val="Calibri"/>
      <family val="2"/>
    </font>
    <font>
      <sz val="11"/>
      <color theme="1"/>
      <name val="AvenirNext LT Com Regular"/>
      <family val="2"/>
    </font>
    <font>
      <sz val="10"/>
      <color theme="1"/>
      <name val="AvenirNext LT Com Regular"/>
      <family val="2"/>
    </font>
    <font>
      <b/>
      <sz val="10.5"/>
      <color theme="1"/>
      <name val="Calibri"/>
      <family val="2"/>
      <scheme val="minor"/>
    </font>
    <font>
      <sz val="10.5"/>
      <color theme="1"/>
      <name val="Calibri"/>
      <family val="2"/>
      <scheme val="minor"/>
    </font>
    <font>
      <sz val="10.5"/>
      <color theme="1" tint="0.499984740745262"/>
      <name val="Calibri"/>
      <family val="2"/>
      <scheme val="minor"/>
    </font>
    <font>
      <sz val="10.5"/>
      <name val="Calibri"/>
      <family val="2"/>
      <scheme val="minor"/>
    </font>
    <font>
      <b/>
      <u/>
      <sz val="12"/>
      <color theme="1"/>
      <name val="Calibri"/>
      <family val="2"/>
      <scheme val="minor"/>
    </font>
    <font>
      <sz val="11"/>
      <color theme="1" tint="0.34998626667073579"/>
      <name val="Calibri"/>
      <family val="2"/>
      <scheme val="minor"/>
    </font>
    <font>
      <sz val="10.5"/>
      <color theme="1" tint="0.34998626667073579"/>
      <name val="Calibri"/>
      <family val="2"/>
      <scheme val="minor"/>
    </font>
    <font>
      <sz val="10.5"/>
      <color theme="0" tint="-0.499984740745262"/>
      <name val="Calibri"/>
      <family val="2"/>
      <scheme val="minor"/>
    </font>
    <font>
      <b/>
      <sz val="9"/>
      <color theme="1"/>
      <name val="Calibri"/>
      <family val="2"/>
      <scheme val="minor"/>
    </font>
    <font>
      <b/>
      <u/>
      <sz val="11"/>
      <color theme="1"/>
      <name val="Calibri"/>
      <family val="2"/>
      <scheme val="minor"/>
    </font>
    <font>
      <b/>
      <i/>
      <sz val="9"/>
      <color theme="1"/>
      <name val="Calibri"/>
      <family val="2"/>
      <scheme val="minor"/>
    </font>
    <font>
      <b/>
      <sz val="10"/>
      <color theme="1"/>
      <name val="Calibri"/>
      <family val="2"/>
      <scheme val="minor"/>
    </font>
    <font>
      <sz val="11"/>
      <color theme="0" tint="-0.499984740745262"/>
      <name val="Calibri"/>
      <family val="2"/>
      <scheme val="minor"/>
    </font>
    <font>
      <sz val="9"/>
      <color theme="1" tint="0.34998626667073579"/>
      <name val="Calibri"/>
      <family val="2"/>
      <scheme val="minor"/>
    </font>
    <font>
      <b/>
      <sz val="10"/>
      <color theme="1"/>
      <name val="Arial"/>
      <family val="2"/>
    </font>
    <font>
      <sz val="11"/>
      <color theme="1"/>
      <name val="Tahoma"/>
      <family val="2"/>
    </font>
    <font>
      <b/>
      <sz val="12"/>
      <color theme="1"/>
      <name val="Calibri"/>
      <family val="2"/>
      <scheme val="minor"/>
    </font>
    <font>
      <sz val="11"/>
      <name val="Calibri"/>
      <family val="2"/>
      <scheme val="minor"/>
    </font>
    <font>
      <vertAlign val="superscript"/>
      <sz val="10.5"/>
      <color theme="0" tint="-0.499984740745262"/>
      <name val="Calibri"/>
      <family val="2"/>
    </font>
    <font>
      <sz val="10.5"/>
      <color theme="0" tint="-0.499984740745262"/>
      <name val="Calibri"/>
      <family val="2"/>
    </font>
    <font>
      <b/>
      <vertAlign val="subscript"/>
      <sz val="11"/>
      <color theme="1"/>
      <name val="Calibri"/>
      <family val="2"/>
      <scheme val="minor"/>
    </font>
    <font>
      <vertAlign val="subscript"/>
      <sz val="13"/>
      <color theme="1"/>
      <name val="Calibri"/>
      <family val="2"/>
      <scheme val="minor"/>
    </font>
    <font>
      <vertAlign val="subscript"/>
      <sz val="12"/>
      <color theme="1"/>
      <name val="Calibri"/>
      <family val="2"/>
      <scheme val="minor"/>
    </font>
    <font>
      <sz val="12"/>
      <color theme="1"/>
      <name val="Calibri"/>
      <family val="2"/>
      <scheme val="minor"/>
    </font>
    <font>
      <sz val="8.6999999999999993"/>
      <color theme="1"/>
      <name val="Calibri"/>
      <family val="2"/>
    </font>
    <font>
      <vertAlign val="subscript"/>
      <sz val="14"/>
      <color theme="1"/>
      <name val="Calibri"/>
      <family val="2"/>
      <scheme val="minor"/>
    </font>
    <font>
      <vertAlign val="subscript"/>
      <sz val="11"/>
      <color theme="1"/>
      <name val="Calibri"/>
      <family val="2"/>
      <scheme val="minor"/>
    </font>
    <font>
      <sz val="11"/>
      <color rgb="FF00B0F0"/>
      <name val="Calibri"/>
      <family val="2"/>
      <scheme val="minor"/>
    </font>
  </fonts>
  <fills count="30">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44"/>
        <bgColor indexed="64"/>
      </patternFill>
    </fill>
    <fill>
      <patternFill patternType="solid">
        <fgColor indexed="40"/>
        <bgColor indexed="64"/>
      </patternFill>
    </fill>
    <fill>
      <patternFill patternType="solid">
        <fgColor indexed="52"/>
        <bgColor indexed="64"/>
      </patternFill>
    </fill>
    <fill>
      <patternFill patternType="solid">
        <fgColor theme="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00CC00"/>
        <bgColor indexed="64"/>
      </patternFill>
    </fill>
    <fill>
      <patternFill patternType="solid">
        <fgColor rgb="FF33CCCC"/>
        <bgColor indexed="64"/>
      </patternFill>
    </fill>
    <fill>
      <patternFill patternType="solid">
        <fgColor rgb="FF92D050"/>
        <bgColor indexed="64"/>
      </patternFill>
    </fill>
    <fill>
      <patternFill patternType="solid">
        <fgColor theme="8" tint="0.39997558519241921"/>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3" fillId="0" borderId="0" applyNumberFormat="0" applyFill="0" applyBorder="0" applyAlignment="0" applyProtection="0">
      <alignment vertical="top"/>
      <protection locked="0"/>
    </xf>
  </cellStyleXfs>
  <cellXfs count="304">
    <xf numFmtId="0" fontId="0" fillId="0" borderId="0" xfId="0"/>
    <xf numFmtId="0" fontId="2" fillId="0" borderId="0" xfId="0" applyNumberFormat="1" applyFont="1" applyAlignment="1">
      <alignment wrapText="1"/>
    </xf>
    <xf numFmtId="0" fontId="0" fillId="0" borderId="0" xfId="0" applyAlignment="1">
      <alignment wrapText="1"/>
    </xf>
    <xf numFmtId="0" fontId="2" fillId="0" borderId="0" xfId="0" applyFont="1" applyAlignment="1">
      <alignment wrapText="1"/>
    </xf>
    <xf numFmtId="0" fontId="5" fillId="0" borderId="0" xfId="0" applyFont="1"/>
    <xf numFmtId="0" fontId="0" fillId="0" borderId="0" xfId="0" applyFill="1"/>
    <xf numFmtId="0" fontId="3" fillId="0" borderId="0" xfId="0" applyFont="1"/>
    <xf numFmtId="0" fontId="5" fillId="0" borderId="0" xfId="0" applyFont="1" applyFill="1" applyAlignment="1">
      <alignment horizontal="right"/>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5" fillId="0" borderId="0" xfId="0" applyFont="1" applyAlignment="1">
      <alignment horizontal="right"/>
    </xf>
    <xf numFmtId="0" fontId="0" fillId="0" borderId="0" xfId="0" applyAlignment="1">
      <alignment horizontal="right"/>
    </xf>
    <xf numFmtId="0" fontId="0" fillId="3" borderId="4" xfId="0" applyFill="1" applyBorder="1"/>
    <xf numFmtId="0" fontId="0" fillId="0" borderId="5" xfId="0" applyBorder="1" applyAlignment="1">
      <alignment horizontal="right"/>
    </xf>
    <xf numFmtId="0" fontId="0" fillId="0" borderId="0" xfId="0" applyAlignment="1">
      <alignment horizontal="left"/>
    </xf>
    <xf numFmtId="0" fontId="0" fillId="2" borderId="4" xfId="0" applyFill="1" applyBorder="1"/>
    <xf numFmtId="0" fontId="3" fillId="0" borderId="5" xfId="0" applyFont="1" applyBorder="1" applyAlignment="1">
      <alignment horizontal="right"/>
    </xf>
    <xf numFmtId="164" fontId="0" fillId="3" borderId="1" xfId="0" applyNumberFormat="1" applyFill="1" applyBorder="1"/>
    <xf numFmtId="49" fontId="5" fillId="3" borderId="1" xfId="0" applyNumberFormat="1" applyFont="1" applyFill="1" applyBorder="1" applyAlignment="1">
      <alignment horizontal="right"/>
    </xf>
    <xf numFmtId="165" fontId="5" fillId="3" borderId="3" xfId="0" applyNumberFormat="1" applyFont="1" applyFill="1" applyBorder="1" applyAlignment="1">
      <alignment horizontal="left"/>
    </xf>
    <xf numFmtId="0" fontId="0" fillId="0" borderId="5" xfId="0" applyBorder="1" applyAlignment="1">
      <alignment horizontal="center"/>
    </xf>
    <xf numFmtId="0" fontId="0" fillId="9" borderId="0" xfId="0" applyFill="1"/>
    <xf numFmtId="2" fontId="5" fillId="3" borderId="4" xfId="0" applyNumberFormat="1" applyFont="1" applyFill="1" applyBorder="1" applyAlignment="1">
      <alignment horizontal="right"/>
    </xf>
    <xf numFmtId="0" fontId="5" fillId="9" borderId="0" xfId="0" applyFont="1" applyFill="1"/>
    <xf numFmtId="0" fontId="3" fillId="9" borderId="0" xfId="0" applyFont="1" applyFill="1"/>
    <xf numFmtId="0" fontId="3" fillId="0" borderId="0" xfId="0" applyFont="1" applyAlignment="1">
      <alignment horizontal="right"/>
    </xf>
    <xf numFmtId="0" fontId="0" fillId="2" borderId="6" xfId="0" applyFill="1" applyBorder="1" applyAlignment="1"/>
    <xf numFmtId="0" fontId="0" fillId="2" borderId="4" xfId="0" applyFill="1" applyBorder="1" applyProtection="1">
      <protection locked="0"/>
    </xf>
    <xf numFmtId="0" fontId="0" fillId="3" borderId="4" xfId="0" applyFill="1" applyBorder="1" applyAlignment="1"/>
    <xf numFmtId="0" fontId="0" fillId="3" borderId="2" xfId="0" applyFill="1" applyBorder="1"/>
    <xf numFmtId="0" fontId="0" fillId="3" borderId="3" xfId="0" applyFill="1" applyBorder="1"/>
    <xf numFmtId="0" fontId="0" fillId="0" borderId="0" xfId="0" quotePrefix="1"/>
    <xf numFmtId="0" fontId="5" fillId="4" borderId="4" xfId="0" applyFont="1" applyFill="1" applyBorder="1" applyAlignment="1">
      <alignment wrapText="1"/>
    </xf>
    <xf numFmtId="0" fontId="5" fillId="4" borderId="3" xfId="0" applyFont="1" applyFill="1" applyBorder="1" applyAlignment="1">
      <alignment wrapText="1"/>
    </xf>
    <xf numFmtId="0" fontId="7" fillId="4" borderId="4" xfId="0" applyFont="1" applyFill="1" applyBorder="1" applyAlignment="1">
      <alignment wrapText="1"/>
    </xf>
    <xf numFmtId="0" fontId="5" fillId="4" borderId="7" xfId="0" applyFont="1" applyFill="1" applyBorder="1" applyAlignment="1">
      <alignment wrapText="1"/>
    </xf>
    <xf numFmtId="0" fontId="5" fillId="4" borderId="7" xfId="0" applyFont="1" applyFill="1" applyBorder="1" applyAlignment="1">
      <alignment horizontal="center" wrapText="1"/>
    </xf>
    <xf numFmtId="0" fontId="14" fillId="4" borderId="4" xfId="0" applyFont="1" applyFill="1" applyBorder="1" applyAlignment="1">
      <alignment wrapText="1"/>
    </xf>
    <xf numFmtId="0" fontId="6" fillId="4" borderId="4" xfId="0" applyFont="1" applyFill="1" applyBorder="1" applyAlignment="1">
      <alignment wrapText="1"/>
    </xf>
    <xf numFmtId="0" fontId="5" fillId="3" borderId="0" xfId="0" applyFont="1" applyFill="1" applyAlignment="1" applyProtection="1">
      <alignment horizontal="center"/>
      <protection locked="0"/>
    </xf>
    <xf numFmtId="2" fontId="3" fillId="3" borderId="8" xfId="0" applyNumberFormat="1" applyFont="1" applyFill="1" applyBorder="1" applyProtection="1">
      <protection locked="0"/>
    </xf>
    <xf numFmtId="2" fontId="0" fillId="3" borderId="8" xfId="0" applyNumberFormat="1" applyFill="1" applyBorder="1" applyProtection="1">
      <protection locked="0"/>
    </xf>
    <xf numFmtId="0" fontId="0" fillId="2" borderId="8" xfId="0" applyFill="1" applyBorder="1" applyProtection="1">
      <protection locked="0"/>
    </xf>
    <xf numFmtId="0" fontId="0" fillId="2" borderId="6" xfId="0" applyFill="1" applyBorder="1" applyProtection="1">
      <protection locked="0"/>
    </xf>
    <xf numFmtId="2" fontId="0" fillId="3" borderId="9" xfId="0" applyNumberFormat="1" applyFill="1" applyBorder="1" applyProtection="1">
      <protection locked="0"/>
    </xf>
    <xf numFmtId="164" fontId="0" fillId="3" borderId="4" xfId="0" applyNumberFormat="1" applyFill="1" applyBorder="1" applyProtection="1">
      <protection locked="0"/>
    </xf>
    <xf numFmtId="164" fontId="5" fillId="3" borderId="9" xfId="0" applyNumberFormat="1" applyFont="1" applyFill="1" applyBorder="1" applyProtection="1">
      <protection locked="0"/>
    </xf>
    <xf numFmtId="2" fontId="0" fillId="3" borderId="5" xfId="0" applyNumberFormat="1" applyFill="1" applyBorder="1" applyProtection="1">
      <protection locked="0"/>
    </xf>
    <xf numFmtId="1" fontId="5" fillId="3" borderId="5" xfId="0" applyNumberFormat="1" applyFont="1" applyFill="1" applyBorder="1" applyProtection="1">
      <protection locked="0"/>
    </xf>
    <xf numFmtId="0" fontId="3" fillId="3" borderId="8" xfId="0" applyFont="1" applyFill="1" applyBorder="1" applyProtection="1">
      <protection locked="0"/>
    </xf>
    <xf numFmtId="0" fontId="0" fillId="2" borderId="9" xfId="0" applyFill="1" applyBorder="1" applyProtection="1">
      <protection locked="0"/>
    </xf>
    <xf numFmtId="164" fontId="0" fillId="2" borderId="0" xfId="0" applyNumberFormat="1" applyFill="1"/>
    <xf numFmtId="164" fontId="0" fillId="2" borderId="0" xfId="0" applyNumberFormat="1" applyFill="1" applyProtection="1">
      <protection locked="0"/>
    </xf>
    <xf numFmtId="0" fontId="0" fillId="2" borderId="0" xfId="0" applyFill="1" applyBorder="1" applyProtection="1">
      <protection locked="0"/>
    </xf>
    <xf numFmtId="2" fontId="3" fillId="3" borderId="8" xfId="0" applyNumberFormat="1" applyFont="1" applyFill="1" applyBorder="1"/>
    <xf numFmtId="2" fontId="0" fillId="3" borderId="9" xfId="0" applyNumberFormat="1" applyFill="1" applyBorder="1"/>
    <xf numFmtId="0" fontId="0" fillId="2" borderId="1" xfId="0" applyFill="1" applyBorder="1"/>
    <xf numFmtId="0" fontId="0" fillId="2" borderId="2" xfId="0" applyFill="1" applyBorder="1"/>
    <xf numFmtId="0" fontId="0" fillId="2" borderId="3" xfId="0" applyFill="1" applyBorder="1"/>
    <xf numFmtId="0" fontId="0" fillId="2" borderId="0" xfId="0" applyFill="1" applyBorder="1"/>
    <xf numFmtId="0" fontId="0" fillId="0" borderId="0" xfId="0" applyAlignment="1">
      <alignment horizontal="center"/>
    </xf>
    <xf numFmtId="49" fontId="5" fillId="3" borderId="4" xfId="0" applyNumberFormat="1" applyFont="1" applyFill="1" applyBorder="1" applyAlignment="1">
      <alignment horizontal="right"/>
    </xf>
    <xf numFmtId="0" fontId="5" fillId="3" borderId="0" xfId="0" applyFont="1" applyFill="1" applyAlignment="1">
      <alignment horizontal="center"/>
    </xf>
    <xf numFmtId="2" fontId="0" fillId="3" borderId="8" xfId="0" applyNumberFormat="1" applyFill="1" applyBorder="1"/>
    <xf numFmtId="0" fontId="0" fillId="3" borderId="6" xfId="0" applyFill="1" applyBorder="1"/>
    <xf numFmtId="0" fontId="0" fillId="2" borderId="8" xfId="0" applyFill="1" applyBorder="1"/>
    <xf numFmtId="2" fontId="0" fillId="3" borderId="6" xfId="0" applyNumberFormat="1" applyFill="1" applyBorder="1"/>
    <xf numFmtId="0" fontId="0" fillId="2" borderId="6" xfId="0" applyFill="1" applyBorder="1"/>
    <xf numFmtId="2" fontId="3" fillId="3" borderId="9" xfId="0" applyNumberFormat="1" applyFont="1" applyFill="1" applyBorder="1"/>
    <xf numFmtId="164" fontId="0" fillId="3" borderId="4" xfId="0" applyNumberFormat="1" applyFill="1" applyBorder="1"/>
    <xf numFmtId="164" fontId="5" fillId="3" borderId="9" xfId="0" applyNumberFormat="1" applyFont="1" applyFill="1" applyBorder="1"/>
    <xf numFmtId="2" fontId="0" fillId="3" borderId="5" xfId="0" applyNumberFormat="1" applyFill="1" applyBorder="1"/>
    <xf numFmtId="1" fontId="5" fillId="3" borderId="9" xfId="0" applyNumberFormat="1" applyFont="1" applyFill="1" applyBorder="1"/>
    <xf numFmtId="0" fontId="3" fillId="3" borderId="9" xfId="0" applyFont="1" applyFill="1" applyBorder="1"/>
    <xf numFmtId="0" fontId="0" fillId="2" borderId="9" xfId="0" applyFill="1" applyBorder="1"/>
    <xf numFmtId="0" fontId="82" fillId="0" borderId="0" xfId="0" applyFont="1" applyAlignment="1">
      <alignment horizontal="right"/>
    </xf>
    <xf numFmtId="0" fontId="5" fillId="4" borderId="10" xfId="0" applyFont="1" applyFill="1" applyBorder="1" applyAlignment="1">
      <alignment wrapText="1"/>
    </xf>
    <xf numFmtId="2" fontId="0" fillId="3" borderId="0" xfId="0" applyNumberFormat="1" applyFill="1" applyBorder="1"/>
    <xf numFmtId="0" fontId="0" fillId="2" borderId="11" xfId="0" applyFill="1" applyBorder="1"/>
    <xf numFmtId="0" fontId="0" fillId="2" borderId="12" xfId="0" applyFill="1" applyBorder="1"/>
    <xf numFmtId="0" fontId="0" fillId="2" borderId="13" xfId="0" applyFill="1" applyBorder="1"/>
    <xf numFmtId="0" fontId="0" fillId="0" borderId="0" xfId="0" applyAlignment="1"/>
    <xf numFmtId="0" fontId="0" fillId="3" borderId="1" xfId="0" applyFill="1" applyBorder="1" applyAlignment="1"/>
    <xf numFmtId="0" fontId="0" fillId="3" borderId="2" xfId="0" applyFill="1" applyBorder="1" applyAlignment="1"/>
    <xf numFmtId="0" fontId="5" fillId="4" borderId="14" xfId="0" applyFont="1" applyFill="1" applyBorder="1" applyAlignment="1">
      <alignment wrapText="1"/>
    </xf>
    <xf numFmtId="0" fontId="14" fillId="4" borderId="7" xfId="0" applyFont="1" applyFill="1" applyBorder="1" applyAlignment="1">
      <alignment wrapText="1"/>
    </xf>
    <xf numFmtId="0" fontId="6" fillId="4" borderId="7" xfId="0" applyFont="1" applyFill="1" applyBorder="1" applyAlignment="1">
      <alignment horizontal="center" wrapText="1"/>
    </xf>
    <xf numFmtId="0" fontId="5" fillId="3" borderId="11" xfId="0" applyFont="1" applyFill="1" applyBorder="1" applyAlignment="1">
      <alignment horizontal="center"/>
    </xf>
    <xf numFmtId="2" fontId="3" fillId="3" borderId="8" xfId="0" applyNumberFormat="1" applyFont="1" applyFill="1" applyBorder="1" applyAlignment="1">
      <alignment horizontal="center"/>
    </xf>
    <xf numFmtId="2" fontId="0" fillId="3" borderId="11" xfId="0" applyNumberFormat="1" applyFill="1" applyBorder="1"/>
    <xf numFmtId="164" fontId="0" fillId="3" borderId="11" xfId="0" applyNumberFormat="1" applyFill="1" applyBorder="1"/>
    <xf numFmtId="0" fontId="5" fillId="3" borderId="9" xfId="0" applyFont="1" applyFill="1" applyBorder="1"/>
    <xf numFmtId="164" fontId="10" fillId="3" borderId="8" xfId="0" applyNumberFormat="1" applyFont="1" applyFill="1" applyBorder="1"/>
    <xf numFmtId="3" fontId="5" fillId="3" borderId="8" xfId="0" applyNumberFormat="1" applyFont="1" applyFill="1" applyBorder="1"/>
    <xf numFmtId="0" fontId="5" fillId="3" borderId="8" xfId="0" applyFont="1" applyFill="1" applyBorder="1" applyAlignment="1">
      <alignment horizontal="center"/>
    </xf>
    <xf numFmtId="164" fontId="3" fillId="3" borderId="8" xfId="0" applyNumberFormat="1" applyFont="1" applyFill="1" applyBorder="1"/>
    <xf numFmtId="0" fontId="0" fillId="3" borderId="9" xfId="0" applyFill="1" applyBorder="1"/>
    <xf numFmtId="164" fontId="0" fillId="2" borderId="8" xfId="0" applyNumberFormat="1" applyFill="1" applyBorder="1"/>
    <xf numFmtId="2" fontId="3" fillId="0" borderId="0" xfId="0" applyNumberFormat="1" applyFont="1"/>
    <xf numFmtId="0" fontId="10" fillId="5" borderId="0" xfId="0" applyFont="1" applyFill="1" applyAlignment="1">
      <alignment horizontal="center" wrapText="1"/>
    </xf>
    <xf numFmtId="49" fontId="5" fillId="3" borderId="2" xfId="0" applyNumberFormat="1" applyFont="1" applyFill="1" applyBorder="1" applyAlignment="1">
      <alignment horizontal="right"/>
    </xf>
    <xf numFmtId="0" fontId="0" fillId="2" borderId="1" xfId="0" applyFill="1" applyBorder="1" applyAlignment="1"/>
    <xf numFmtId="0" fontId="0" fillId="2" borderId="3" xfId="0" applyFill="1" applyBorder="1" applyAlignment="1"/>
    <xf numFmtId="0" fontId="5" fillId="4" borderId="15" xfId="0" applyFont="1" applyFill="1" applyBorder="1" applyAlignment="1">
      <alignment wrapText="1"/>
    </xf>
    <xf numFmtId="0" fontId="27" fillId="4" borderId="7" xfId="0" applyFont="1" applyFill="1" applyBorder="1" applyAlignment="1">
      <alignment wrapText="1"/>
    </xf>
    <xf numFmtId="0" fontId="28" fillId="4" borderId="15" xfId="0" applyFont="1" applyFill="1" applyBorder="1" applyAlignment="1">
      <alignment wrapText="1"/>
    </xf>
    <xf numFmtId="0" fontId="6" fillId="4" borderId="7" xfId="0" applyFont="1" applyFill="1" applyBorder="1" applyAlignment="1">
      <alignment wrapText="1"/>
    </xf>
    <xf numFmtId="2" fontId="3" fillId="3" borderId="0" xfId="0" applyNumberFormat="1" applyFont="1" applyFill="1" applyAlignment="1">
      <alignment horizontal="center"/>
    </xf>
    <xf numFmtId="164" fontId="0" fillId="3" borderId="0" xfId="0" applyNumberFormat="1" applyFill="1"/>
    <xf numFmtId="164" fontId="0" fillId="3" borderId="9" xfId="0" applyNumberFormat="1" applyFill="1" applyBorder="1"/>
    <xf numFmtId="3" fontId="5" fillId="3" borderId="5" xfId="0" applyNumberFormat="1" applyFont="1" applyFill="1" applyBorder="1"/>
    <xf numFmtId="164" fontId="5" fillId="3" borderId="5" xfId="0" applyNumberFormat="1" applyFont="1" applyFill="1" applyBorder="1"/>
    <xf numFmtId="0" fontId="0" fillId="6" borderId="4" xfId="0" applyFill="1" applyBorder="1"/>
    <xf numFmtId="4" fontId="0" fillId="6" borderId="4" xfId="0" applyNumberFormat="1" applyFill="1" applyBorder="1"/>
    <xf numFmtId="2" fontId="0" fillId="6" borderId="4" xfId="0" applyNumberFormat="1" applyFill="1" applyBorder="1"/>
    <xf numFmtId="4" fontId="0" fillId="6" borderId="4" xfId="0" applyNumberFormat="1" applyFill="1" applyBorder="1" applyAlignment="1">
      <alignment horizontal="right"/>
    </xf>
    <xf numFmtId="4" fontId="5" fillId="6" borderId="4" xfId="0" applyNumberFormat="1" applyFont="1" applyFill="1" applyBorder="1" applyAlignment="1">
      <alignment horizontal="right"/>
    </xf>
    <xf numFmtId="0" fontId="7" fillId="0" borderId="0" xfId="0" applyFont="1" applyAlignment="1">
      <alignment horizontal="left"/>
    </xf>
    <xf numFmtId="2" fontId="0" fillId="2" borderId="8" xfId="0" applyNumberFormat="1" applyFill="1" applyBorder="1" applyProtection="1">
      <protection locked="0"/>
    </xf>
    <xf numFmtId="0" fontId="82" fillId="2" borderId="8" xfId="0" applyFont="1" applyFill="1" applyBorder="1"/>
    <xf numFmtId="2" fontId="0" fillId="0" borderId="0" xfId="0" applyNumberFormat="1"/>
    <xf numFmtId="0" fontId="0" fillId="10" borderId="2" xfId="0" applyFill="1" applyBorder="1"/>
    <xf numFmtId="0" fontId="0" fillId="10" borderId="3" xfId="0" applyFill="1" applyBorder="1"/>
    <xf numFmtId="2" fontId="0" fillId="10" borderId="9" xfId="0" applyNumberFormat="1" applyFill="1" applyBorder="1"/>
    <xf numFmtId="0" fontId="0" fillId="2" borderId="8" xfId="0" applyFont="1" applyFill="1" applyBorder="1"/>
    <xf numFmtId="2" fontId="5" fillId="3" borderId="4" xfId="0" quotePrefix="1" applyNumberFormat="1" applyFont="1" applyFill="1" applyBorder="1" applyAlignment="1">
      <alignment horizontal="right"/>
    </xf>
    <xf numFmtId="0" fontId="84" fillId="0" borderId="0" xfId="0" applyFont="1" applyAlignment="1">
      <alignment wrapText="1"/>
    </xf>
    <xf numFmtId="0" fontId="84" fillId="0" borderId="0" xfId="0" applyNumberFormat="1" applyFont="1" applyAlignment="1">
      <alignment wrapText="1"/>
    </xf>
    <xf numFmtId="0" fontId="32" fillId="0" borderId="0" xfId="0" applyFont="1" applyAlignment="1">
      <alignment wrapText="1"/>
    </xf>
    <xf numFmtId="0" fontId="85" fillId="0" borderId="0" xfId="0" applyFont="1" applyAlignment="1">
      <alignment horizontal="left" vertical="center" wrapText="1"/>
    </xf>
    <xf numFmtId="0" fontId="85" fillId="0" borderId="0" xfId="0" applyFont="1" applyAlignment="1">
      <alignment wrapText="1"/>
    </xf>
    <xf numFmtId="165" fontId="5" fillId="3" borderId="4" xfId="0" applyNumberFormat="1" applyFont="1" applyFill="1" applyBorder="1" applyAlignment="1">
      <alignment horizontal="right"/>
    </xf>
    <xf numFmtId="0" fontId="33" fillId="4" borderId="7" xfId="0" applyFont="1" applyFill="1" applyBorder="1" applyAlignment="1">
      <alignment wrapText="1"/>
    </xf>
    <xf numFmtId="0" fontId="0" fillId="11" borderId="1" xfId="0" applyFill="1" applyBorder="1"/>
    <xf numFmtId="0" fontId="0" fillId="11" borderId="2" xfId="0" applyFill="1" applyBorder="1"/>
    <xf numFmtId="0" fontId="0" fillId="11" borderId="3" xfId="0" applyFill="1" applyBorder="1"/>
    <xf numFmtId="0" fontId="0" fillId="2" borderId="15" xfId="0" applyFill="1" applyBorder="1" applyProtection="1">
      <protection locked="0"/>
    </xf>
    <xf numFmtId="0" fontId="0" fillId="2" borderId="14" xfId="0" applyFill="1" applyBorder="1" applyProtection="1">
      <protection locked="0"/>
    </xf>
    <xf numFmtId="0" fontId="0" fillId="2" borderId="10" xfId="0" applyFill="1" applyBorder="1" applyProtection="1">
      <protection locked="0"/>
    </xf>
    <xf numFmtId="0" fontId="0" fillId="11" borderId="1" xfId="0" applyFill="1" applyBorder="1" applyProtection="1">
      <protection locked="0"/>
    </xf>
    <xf numFmtId="0" fontId="0" fillId="11" borderId="2" xfId="0" applyFill="1" applyBorder="1" applyProtection="1">
      <protection locked="0"/>
    </xf>
    <xf numFmtId="0" fontId="82" fillId="0" borderId="0" xfId="0" applyFont="1"/>
    <xf numFmtId="0" fontId="82" fillId="5" borderId="15" xfId="0" applyFont="1" applyFill="1" applyBorder="1" applyAlignment="1">
      <alignment horizontal="left"/>
    </xf>
    <xf numFmtId="0" fontId="6" fillId="5" borderId="10" xfId="0" applyFont="1" applyFill="1" applyBorder="1" applyAlignment="1">
      <alignment horizontal="center" wrapText="1"/>
    </xf>
    <xf numFmtId="0" fontId="0" fillId="3" borderId="3" xfId="0" applyFill="1" applyBorder="1" applyAlignment="1"/>
    <xf numFmtId="0" fontId="83" fillId="0" borderId="0" xfId="1" applyAlignment="1" applyProtection="1">
      <alignment wrapText="1"/>
    </xf>
    <xf numFmtId="2" fontId="82" fillId="12" borderId="4" xfId="0" applyNumberFormat="1" applyFont="1" applyFill="1" applyBorder="1"/>
    <xf numFmtId="0" fontId="86" fillId="0" borderId="0" xfId="0" applyFont="1"/>
    <xf numFmtId="0" fontId="87" fillId="0" borderId="0" xfId="0" applyFont="1"/>
    <xf numFmtId="0" fontId="86" fillId="0" borderId="0" xfId="0" applyFont="1" applyAlignment="1">
      <alignment horizontal="right"/>
    </xf>
    <xf numFmtId="0" fontId="87" fillId="13" borderId="1" xfId="0" applyFont="1" applyFill="1" applyBorder="1"/>
    <xf numFmtId="0" fontId="87" fillId="0" borderId="11" xfId="0" applyFont="1" applyBorder="1"/>
    <xf numFmtId="0" fontId="87" fillId="0" borderId="12" xfId="0" applyFont="1" applyBorder="1"/>
    <xf numFmtId="0" fontId="87" fillId="0" borderId="13" xfId="0" applyFont="1" applyBorder="1"/>
    <xf numFmtId="0" fontId="88" fillId="0" borderId="0" xfId="0" applyFont="1" applyAlignment="1">
      <alignment horizontal="right"/>
    </xf>
    <xf numFmtId="0" fontId="89" fillId="0" borderId="1" xfId="0" applyFont="1" applyBorder="1"/>
    <xf numFmtId="0" fontId="87" fillId="0" borderId="2" xfId="0" applyFont="1" applyBorder="1"/>
    <xf numFmtId="0" fontId="87" fillId="0" borderId="3" xfId="0" applyFont="1" applyBorder="1"/>
    <xf numFmtId="0" fontId="0" fillId="0" borderId="2" xfId="0" applyBorder="1"/>
    <xf numFmtId="0" fontId="0" fillId="0" borderId="3" xfId="0" applyBorder="1"/>
    <xf numFmtId="0" fontId="87" fillId="14" borderId="1" xfId="0" applyFont="1" applyFill="1" applyBorder="1"/>
    <xf numFmtId="0" fontId="87" fillId="0" borderId="8" xfId="0" applyFont="1" applyBorder="1"/>
    <xf numFmtId="0" fontId="87" fillId="0" borderId="0" xfId="0" applyFont="1" applyBorder="1"/>
    <xf numFmtId="0" fontId="87" fillId="0" borderId="5" xfId="0" applyFont="1" applyBorder="1"/>
    <xf numFmtId="0" fontId="87" fillId="0" borderId="11" xfId="0" applyFont="1" applyFill="1" applyBorder="1"/>
    <xf numFmtId="0" fontId="87" fillId="0" borderId="0" xfId="0" applyFont="1" applyFill="1" applyBorder="1" applyAlignment="1">
      <alignment horizontal="right"/>
    </xf>
    <xf numFmtId="0" fontId="0" fillId="0" borderId="5" xfId="0" applyBorder="1"/>
    <xf numFmtId="0" fontId="87" fillId="0" borderId="14" xfId="0" applyFont="1" applyBorder="1"/>
    <xf numFmtId="0" fontId="87" fillId="0" borderId="15" xfId="0" applyFont="1" applyBorder="1"/>
    <xf numFmtId="0" fontId="87" fillId="0" borderId="10" xfId="0" applyFont="1" applyBorder="1"/>
    <xf numFmtId="0" fontId="90" fillId="0" borderId="0" xfId="0" applyFont="1"/>
    <xf numFmtId="0" fontId="86" fillId="0" borderId="0" xfId="0" applyFont="1" applyAlignment="1">
      <alignment horizontal="left"/>
    </xf>
    <xf numFmtId="0" fontId="91" fillId="15" borderId="4" xfId="0" applyFont="1" applyFill="1" applyBorder="1"/>
    <xf numFmtId="0" fontId="87" fillId="16" borderId="4" xfId="0" applyFont="1" applyFill="1" applyBorder="1" applyAlignment="1">
      <alignment wrapText="1"/>
    </xf>
    <xf numFmtId="0" fontId="87" fillId="17" borderId="4" xfId="0" applyFont="1" applyFill="1" applyBorder="1"/>
    <xf numFmtId="164" fontId="87" fillId="18" borderId="4" xfId="0" applyNumberFormat="1" applyFont="1" applyFill="1" applyBorder="1"/>
    <xf numFmtId="0" fontId="0" fillId="0" borderId="4" xfId="0" applyBorder="1"/>
    <xf numFmtId="2" fontId="0" fillId="19" borderId="4" xfId="0" applyNumberFormat="1" applyFill="1" applyBorder="1"/>
    <xf numFmtId="0" fontId="92" fillId="15" borderId="4" xfId="0" applyFont="1" applyFill="1" applyBorder="1"/>
    <xf numFmtId="0" fontId="87" fillId="0" borderId="4" xfId="0" applyFont="1" applyBorder="1"/>
    <xf numFmtId="1" fontId="87" fillId="18" borderId="4" xfId="0" applyNumberFormat="1" applyFont="1" applyFill="1" applyBorder="1"/>
    <xf numFmtId="0" fontId="0" fillId="20" borderId="4" xfId="0" applyFill="1" applyBorder="1"/>
    <xf numFmtId="0" fontId="0" fillId="21" borderId="4" xfId="0" applyFill="1" applyBorder="1"/>
    <xf numFmtId="1" fontId="87" fillId="22" borderId="4" xfId="0" applyNumberFormat="1" applyFont="1" applyFill="1" applyBorder="1"/>
    <xf numFmtId="0" fontId="88" fillId="0" borderId="0" xfId="0" applyFont="1"/>
    <xf numFmtId="0" fontId="88" fillId="0" borderId="4" xfId="0" applyFont="1" applyBorder="1"/>
    <xf numFmtId="0" fontId="88" fillId="0" borderId="4" xfId="0" applyFont="1" applyBorder="1" applyAlignment="1">
      <alignment wrapText="1"/>
    </xf>
    <xf numFmtId="0" fontId="88" fillId="0" borderId="4" xfId="0" applyFont="1" applyBorder="1" applyAlignment="1">
      <alignment horizontal="center"/>
    </xf>
    <xf numFmtId="0" fontId="88" fillId="0" borderId="0" xfId="0" applyFont="1" applyBorder="1"/>
    <xf numFmtId="0" fontId="88" fillId="0" borderId="0" xfId="0" applyFont="1" applyBorder="1" applyAlignment="1">
      <alignment horizontal="center"/>
    </xf>
    <xf numFmtId="0" fontId="93" fillId="0" borderId="0" xfId="0" applyFont="1"/>
    <xf numFmtId="0" fontId="87" fillId="0" borderId="1" xfId="0" applyFont="1" applyBorder="1"/>
    <xf numFmtId="0" fontId="86" fillId="16" borderId="4" xfId="0" applyFont="1" applyFill="1" applyBorder="1" applyAlignment="1">
      <alignment wrapText="1"/>
    </xf>
    <xf numFmtId="0" fontId="94" fillId="16" borderId="4" xfId="0" applyFont="1" applyFill="1" applyBorder="1" applyAlignment="1">
      <alignment wrapText="1"/>
    </xf>
    <xf numFmtId="0" fontId="87" fillId="0" borderId="0" xfId="0" applyFont="1" applyFill="1" applyBorder="1"/>
    <xf numFmtId="0" fontId="87" fillId="13" borderId="4" xfId="0" applyFont="1" applyFill="1" applyBorder="1"/>
    <xf numFmtId="0" fontId="0" fillId="13" borderId="4" xfId="0" applyFill="1" applyBorder="1"/>
    <xf numFmtId="0" fontId="86" fillId="16" borderId="4" xfId="0" applyFont="1" applyFill="1" applyBorder="1" applyAlignment="1">
      <alignment vertical="center" wrapText="1"/>
    </xf>
    <xf numFmtId="0" fontId="0" fillId="0" borderId="0" xfId="0" applyFont="1"/>
    <xf numFmtId="164" fontId="0" fillId="3" borderId="4" xfId="0" applyNumberFormat="1" applyFont="1" applyFill="1" applyBorder="1"/>
    <xf numFmtId="164" fontId="0" fillId="3" borderId="1" xfId="0" applyNumberFormat="1" applyFont="1" applyFill="1" applyBorder="1"/>
    <xf numFmtId="0" fontId="95" fillId="0" borderId="0" xfId="0" applyFont="1"/>
    <xf numFmtId="0" fontId="96" fillId="0" borderId="0" xfId="0" applyFont="1"/>
    <xf numFmtId="0" fontId="0" fillId="0" borderId="0" xfId="0" applyFill="1" applyBorder="1" applyAlignment="1">
      <alignment horizontal="left"/>
    </xf>
    <xf numFmtId="0" fontId="97" fillId="0" borderId="0" xfId="0" applyFont="1" applyAlignment="1">
      <alignment horizontal="right"/>
    </xf>
    <xf numFmtId="2" fontId="64" fillId="3" borderId="4" xfId="0" applyNumberFormat="1" applyFont="1" applyFill="1" applyBorder="1" applyAlignment="1">
      <alignment horizontal="right"/>
    </xf>
    <xf numFmtId="0" fontId="82" fillId="0" borderId="0" xfId="0" applyFont="1" applyAlignment="1">
      <alignment horizontal="left"/>
    </xf>
    <xf numFmtId="0" fontId="75" fillId="0" borderId="0" xfId="0" applyFont="1" applyAlignment="1">
      <alignment vertical="top"/>
    </xf>
    <xf numFmtId="0" fontId="0" fillId="0" borderId="0" xfId="0" applyFill="1" applyBorder="1" applyAlignment="1">
      <alignment horizontal="right"/>
    </xf>
    <xf numFmtId="0" fontId="82" fillId="2" borderId="4" xfId="0" applyFont="1" applyFill="1" applyBorder="1"/>
    <xf numFmtId="0" fontId="0" fillId="0" borderId="0" xfId="0" applyBorder="1"/>
    <xf numFmtId="0" fontId="0" fillId="0" borderId="15" xfId="0" applyBorder="1"/>
    <xf numFmtId="0" fontId="0" fillId="0" borderId="10" xfId="0" applyBorder="1"/>
    <xf numFmtId="0" fontId="87" fillId="0" borderId="8" xfId="0" applyFont="1" applyFill="1" applyBorder="1"/>
    <xf numFmtId="0" fontId="87" fillId="23" borderId="1" xfId="0" applyFont="1" applyFill="1" applyBorder="1"/>
    <xf numFmtId="2" fontId="91" fillId="15" borderId="4" xfId="0" applyNumberFormat="1" applyFont="1" applyFill="1" applyBorder="1"/>
    <xf numFmtId="2" fontId="91" fillId="24" borderId="4" xfId="0" applyNumberFormat="1" applyFont="1" applyFill="1" applyBorder="1"/>
    <xf numFmtId="164" fontId="91" fillId="15" borderId="4" xfId="0" applyNumberFormat="1" applyFont="1" applyFill="1" applyBorder="1"/>
    <xf numFmtId="2" fontId="92" fillId="15" borderId="4" xfId="0" applyNumberFormat="1" applyFont="1" applyFill="1" applyBorder="1"/>
    <xf numFmtId="2" fontId="92" fillId="24" borderId="4" xfId="0" applyNumberFormat="1" applyFont="1" applyFill="1" applyBorder="1"/>
    <xf numFmtId="0" fontId="87" fillId="0" borderId="9" xfId="0" applyFont="1" applyFill="1" applyBorder="1"/>
    <xf numFmtId="2" fontId="98" fillId="19" borderId="4" xfId="0" applyNumberFormat="1" applyFont="1" applyFill="1" applyBorder="1"/>
    <xf numFmtId="0" fontId="91" fillId="15" borderId="1" xfId="0" applyFont="1" applyFill="1" applyBorder="1"/>
    <xf numFmtId="0" fontId="86" fillId="16" borderId="7" xfId="0" applyFont="1" applyFill="1" applyBorder="1" applyAlignment="1">
      <alignment wrapText="1"/>
    </xf>
    <xf numFmtId="0" fontId="87" fillId="16" borderId="7" xfId="0" applyFont="1" applyFill="1" applyBorder="1" applyAlignment="1">
      <alignment wrapText="1"/>
    </xf>
    <xf numFmtId="0" fontId="99" fillId="15" borderId="4" xfId="0" applyFont="1" applyFill="1" applyBorder="1"/>
    <xf numFmtId="0" fontId="0" fillId="7" borderId="4" xfId="0" applyFill="1" applyBorder="1"/>
    <xf numFmtId="0" fontId="0" fillId="0" borderId="0" xfId="0" quotePrefix="1" applyAlignment="1">
      <alignment horizontal="right"/>
    </xf>
    <xf numFmtId="0" fontId="10" fillId="0" borderId="0" xfId="0" applyFont="1" applyAlignment="1">
      <alignment horizontal="right"/>
    </xf>
    <xf numFmtId="164" fontId="100" fillId="24" borderId="4" xfId="0" applyNumberFormat="1" applyFont="1" applyFill="1" applyBorder="1"/>
    <xf numFmtId="0" fontId="101" fillId="0" borderId="0" xfId="0" quotePrefix="1" applyFont="1"/>
    <xf numFmtId="0" fontId="3" fillId="0" borderId="0" xfId="0" quotePrefix="1" applyFont="1"/>
    <xf numFmtId="0" fontId="5" fillId="2" borderId="4" xfId="0" applyFont="1" applyFill="1" applyBorder="1" applyAlignment="1">
      <alignment horizontal="right"/>
    </xf>
    <xf numFmtId="0" fontId="5" fillId="7" borderId="4" xfId="0" applyFont="1" applyFill="1" applyBorder="1"/>
    <xf numFmtId="0" fontId="82" fillId="7" borderId="4" xfId="0" applyFont="1" applyFill="1" applyBorder="1"/>
    <xf numFmtId="2" fontId="0" fillId="7" borderId="4" xfId="0" applyNumberFormat="1" applyFill="1" applyBorder="1"/>
    <xf numFmtId="166" fontId="0" fillId="7" borderId="4" xfId="0" applyNumberFormat="1" applyFill="1" applyBorder="1"/>
    <xf numFmtId="2" fontId="82" fillId="7" borderId="4" xfId="0" applyNumberFormat="1" applyFont="1" applyFill="1" applyBorder="1"/>
    <xf numFmtId="0" fontId="3" fillId="2" borderId="4" xfId="0" applyFont="1" applyFill="1" applyBorder="1"/>
    <xf numFmtId="164" fontId="0" fillId="7" borderId="4" xfId="0" applyNumberFormat="1" applyFill="1" applyBorder="1"/>
    <xf numFmtId="0" fontId="82" fillId="18" borderId="4" xfId="0" applyFont="1" applyFill="1" applyBorder="1"/>
    <xf numFmtId="2" fontId="10" fillId="7" borderId="16" xfId="0" applyNumberFormat="1" applyFont="1" applyFill="1" applyBorder="1"/>
    <xf numFmtId="0" fontId="102" fillId="2" borderId="17" xfId="0" applyFont="1" applyFill="1" applyBorder="1"/>
    <xf numFmtId="164" fontId="0" fillId="7" borderId="7" xfId="0" applyNumberFormat="1" applyFill="1" applyBorder="1"/>
    <xf numFmtId="0" fontId="80" fillId="0" borderId="0" xfId="0" applyFont="1"/>
    <xf numFmtId="164" fontId="5" fillId="7" borderId="4" xfId="0" applyNumberFormat="1" applyFont="1" applyFill="1" applyBorder="1"/>
    <xf numFmtId="1" fontId="5" fillId="7" borderId="4" xfId="0" applyNumberFormat="1" applyFont="1" applyFill="1" applyBorder="1"/>
    <xf numFmtId="0" fontId="81" fillId="0" borderId="0" xfId="0" applyFont="1"/>
    <xf numFmtId="2" fontId="91" fillId="22" borderId="4" xfId="0" applyNumberFormat="1" applyFont="1" applyFill="1" applyBorder="1"/>
    <xf numFmtId="164" fontId="91" fillId="22" borderId="4" xfId="0" applyNumberFormat="1" applyFont="1" applyFill="1" applyBorder="1"/>
    <xf numFmtId="2" fontId="92" fillId="22" borderId="4" xfId="0" applyNumberFormat="1" applyFont="1" applyFill="1" applyBorder="1"/>
    <xf numFmtId="0" fontId="93" fillId="0" borderId="0" xfId="0" applyFont="1" applyBorder="1"/>
    <xf numFmtId="167" fontId="5" fillId="6" borderId="4" xfId="0" applyNumberFormat="1" applyFont="1" applyFill="1" applyBorder="1"/>
    <xf numFmtId="0" fontId="102" fillId="13" borderId="18" xfId="0" applyFont="1" applyFill="1" applyBorder="1" applyAlignment="1">
      <alignment horizontal="left"/>
    </xf>
    <xf numFmtId="0" fontId="102" fillId="13" borderId="20" xfId="0" applyFont="1" applyFill="1" applyBorder="1" applyAlignment="1">
      <alignment horizontal="left"/>
    </xf>
    <xf numFmtId="2" fontId="0" fillId="2" borderId="4" xfId="0" applyNumberFormat="1" applyFill="1" applyBorder="1"/>
    <xf numFmtId="0" fontId="0" fillId="18" borderId="4" xfId="0" applyFill="1" applyBorder="1"/>
    <xf numFmtId="0" fontId="82" fillId="2" borderId="4" xfId="0" applyFont="1" applyFill="1" applyBorder="1" applyAlignment="1">
      <alignment horizontal="right"/>
    </xf>
    <xf numFmtId="0" fontId="113" fillId="0" borderId="0" xfId="0" applyFont="1" applyAlignment="1">
      <alignment horizontal="center"/>
    </xf>
    <xf numFmtId="0" fontId="88" fillId="0" borderId="1" xfId="0" applyFont="1" applyBorder="1" applyAlignment="1">
      <alignment horizontal="center" wrapText="1"/>
    </xf>
    <xf numFmtId="0" fontId="88" fillId="0" borderId="2" xfId="0" applyFont="1" applyBorder="1" applyAlignment="1">
      <alignment horizontal="center" wrapText="1"/>
    </xf>
    <xf numFmtId="0" fontId="88" fillId="0" borderId="3" xfId="0" applyFont="1" applyBorder="1" applyAlignment="1">
      <alignment horizontal="center" wrapText="1"/>
    </xf>
    <xf numFmtId="0" fontId="0" fillId="25" borderId="4" xfId="0" applyFill="1" applyBorder="1" applyAlignment="1">
      <alignment horizontal="center"/>
    </xf>
    <xf numFmtId="0" fontId="103" fillId="26"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27" borderId="1" xfId="0" applyFill="1" applyBorder="1" applyAlignment="1">
      <alignment horizontal="center"/>
    </xf>
    <xf numFmtId="0" fontId="87" fillId="0" borderId="4" xfId="0" applyFont="1" applyBorder="1" applyAlignment="1">
      <alignment horizontal="center"/>
    </xf>
    <xf numFmtId="0" fontId="87" fillId="16" borderId="1" xfId="0" applyFont="1" applyFill="1" applyBorder="1" applyAlignment="1">
      <alignment horizontal="center" wrapText="1"/>
    </xf>
    <xf numFmtId="0" fontId="87" fillId="16" borderId="2" xfId="0" applyFont="1" applyFill="1" applyBorder="1" applyAlignment="1">
      <alignment horizontal="center" wrapText="1"/>
    </xf>
    <xf numFmtId="0" fontId="87" fillId="16" borderId="3" xfId="0" applyFont="1" applyFill="1" applyBorder="1" applyAlignment="1">
      <alignment horizontal="center" wrapText="1"/>
    </xf>
    <xf numFmtId="0" fontId="0" fillId="25" borderId="1" xfId="0" applyFill="1" applyBorder="1" applyAlignment="1">
      <alignment horizontal="center"/>
    </xf>
    <xf numFmtId="0" fontId="0" fillId="23" borderId="1" xfId="0" applyFill="1" applyBorder="1" applyAlignment="1">
      <alignment horizontal="center" wrapText="1"/>
    </xf>
    <xf numFmtId="0" fontId="0" fillId="23" borderId="2" xfId="0" applyFill="1" applyBorder="1" applyAlignment="1">
      <alignment horizontal="center" wrapText="1"/>
    </xf>
    <xf numFmtId="0" fontId="91" fillId="15" borderId="1" xfId="0" applyFont="1" applyFill="1" applyBorder="1" applyAlignment="1"/>
    <xf numFmtId="0" fontId="0" fillId="0" borderId="3" xfId="0" applyBorder="1" applyAlignment="1"/>
    <xf numFmtId="0" fontId="0" fillId="22" borderId="2" xfId="0" applyFill="1" applyBorder="1" applyAlignment="1"/>
    <xf numFmtId="0" fontId="0" fillId="22" borderId="3" xfId="0" applyFill="1" applyBorder="1" applyAlignment="1"/>
    <xf numFmtId="0" fontId="0" fillId="25" borderId="6" xfId="0" applyFill="1" applyBorder="1" applyAlignment="1">
      <alignment horizontal="center"/>
    </xf>
    <xf numFmtId="0" fontId="91" fillId="28" borderId="1" xfId="0" applyFont="1" applyFill="1" applyBorder="1" applyAlignment="1">
      <alignment horizontal="center"/>
    </xf>
    <xf numFmtId="0" fontId="5" fillId="8" borderId="18" xfId="0" applyFont="1" applyFill="1" applyBorder="1" applyAlignment="1">
      <alignment horizontal="center"/>
    </xf>
    <xf numFmtId="0" fontId="5" fillId="8" borderId="19" xfId="0" applyFont="1" applyFill="1" applyBorder="1" applyAlignment="1">
      <alignment horizontal="center"/>
    </xf>
    <xf numFmtId="0" fontId="5" fillId="0" borderId="20" xfId="0" applyFont="1" applyBorder="1" applyAlignment="1">
      <alignment horizontal="center"/>
    </xf>
    <xf numFmtId="0" fontId="5" fillId="29" borderId="18" xfId="0" applyFont="1" applyFill="1" applyBorder="1" applyAlignment="1">
      <alignment horizontal="center"/>
    </xf>
    <xf numFmtId="0" fontId="5" fillId="29" borderId="19" xfId="0" applyFont="1" applyFill="1" applyBorder="1" applyAlignment="1">
      <alignment horizontal="center"/>
    </xf>
    <xf numFmtId="0" fontId="0" fillId="0" borderId="20" xfId="0" applyBorder="1" applyAlignment="1"/>
    <xf numFmtId="0" fontId="0" fillId="2" borderId="1" xfId="0" applyFill="1" applyBorder="1" applyAlignment="1" applyProtection="1">
      <protection locked="0"/>
    </xf>
    <xf numFmtId="0" fontId="0" fillId="2" borderId="2" xfId="0" applyFill="1" applyBorder="1" applyAlignment="1" applyProtection="1">
      <protection locked="0"/>
    </xf>
    <xf numFmtId="0" fontId="0" fillId="2" borderId="3" xfId="0" applyFill="1" applyBorder="1" applyAlignment="1" applyProtection="1">
      <protection locked="0"/>
    </xf>
    <xf numFmtId="0" fontId="0" fillId="8" borderId="18" xfId="0" applyFill="1" applyBorder="1" applyAlignment="1">
      <alignment horizontal="center"/>
    </xf>
    <xf numFmtId="0" fontId="0" fillId="8" borderId="19" xfId="0" applyFill="1" applyBorder="1" applyAlignment="1">
      <alignment horizontal="center"/>
    </xf>
    <xf numFmtId="0" fontId="0" fillId="0" borderId="20" xfId="0" applyBorder="1" applyAlignment="1">
      <alignment horizontal="center"/>
    </xf>
    <xf numFmtId="0" fontId="0" fillId="18" borderId="18" xfId="0" applyFill="1" applyBorder="1" applyAlignment="1">
      <alignment horizontal="center"/>
    </xf>
    <xf numFmtId="0" fontId="0" fillId="18" borderId="19" xfId="0" applyFill="1" applyBorder="1" applyAlignment="1">
      <alignment horizontal="center"/>
    </xf>
    <xf numFmtId="0" fontId="5" fillId="18" borderId="18" xfId="0" applyFont="1" applyFill="1" applyBorder="1" applyAlignment="1">
      <alignment horizontal="center"/>
    </xf>
    <xf numFmtId="0" fontId="5" fillId="18" borderId="19" xfId="0" applyFont="1" applyFill="1" applyBorder="1" applyAlignment="1">
      <alignment horizontal="center"/>
    </xf>
    <xf numFmtId="0" fontId="5" fillId="18" borderId="20" xfId="0" applyFont="1" applyFill="1" applyBorder="1" applyAlignment="1">
      <alignment horizontal="center"/>
    </xf>
    <xf numFmtId="0" fontId="10" fillId="8" borderId="18" xfId="0" applyFont="1" applyFill="1" applyBorder="1" applyAlignment="1">
      <alignment horizontal="center"/>
    </xf>
    <xf numFmtId="0" fontId="0" fillId="0" borderId="19" xfId="0" applyBorder="1" applyAlignment="1">
      <alignment horizontal="center"/>
    </xf>
    <xf numFmtId="0" fontId="0" fillId="0" borderId="19" xfId="0" applyBorder="1" applyAlignment="1"/>
    <xf numFmtId="0" fontId="3" fillId="2" borderId="1" xfId="0" applyFont="1" applyFill="1" applyBorder="1"/>
    <xf numFmtId="0" fontId="0" fillId="0" borderId="2" xfId="0" applyBorder="1"/>
    <xf numFmtId="0" fontId="0" fillId="0" borderId="3" xfId="0" applyBorder="1"/>
  </cellXfs>
  <cellStyles count="2">
    <cellStyle name="Link" xfId="1" builtinId="8"/>
    <cellStyle name="Standard" xfId="0" builtinId="0"/>
  </cellStyles>
  <dxfs count="4889">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right/>
        <top/>
        <bottom/>
      </border>
    </dxf>
    <dxf>
      <font>
        <condense val="0"/>
        <extend val="0"/>
        <color indexed="9"/>
      </font>
      <fill>
        <patternFill>
          <bgColor indexed="9"/>
        </patternFill>
      </fill>
      <border>
        <left style="thin">
          <color indexed="22"/>
        </left>
        <right style="thin">
          <color indexed="22"/>
        </right>
        <top style="thin">
          <color indexed="22"/>
        </top>
        <bottom style="thin">
          <color indexed="22"/>
        </bottom>
      </border>
    </dxf>
    <dxf>
      <font>
        <strike val="0"/>
        <condense val="0"/>
        <extend val="0"/>
        <color indexed="9"/>
      </font>
      <fill>
        <patternFill>
          <bgColor indexed="9"/>
        </patternFill>
      </fill>
      <border>
        <left/>
        <right/>
        <top/>
        <bottom/>
      </border>
    </dxf>
    <dxf>
      <font>
        <strike val="0"/>
        <condense val="0"/>
        <extend val="0"/>
        <color indexed="9"/>
      </font>
      <fill>
        <patternFill>
          <bgColor indexed="9"/>
        </patternFill>
      </fill>
      <border>
        <left style="thin">
          <color indexed="22"/>
        </left>
        <right style="thin">
          <color indexed="22"/>
        </right>
        <top style="thin">
          <color indexed="22"/>
        </top>
        <bottom style="thin">
          <color indexed="22"/>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8</xdr:col>
      <xdr:colOff>742950</xdr:colOff>
      <xdr:row>47</xdr:row>
      <xdr:rowOff>104775</xdr:rowOff>
    </xdr:to>
    <xdr:pic>
      <xdr:nvPicPr>
        <xdr:cNvPr id="35866" name="Grafik 1">
          <a:extLst>
            <a:ext uri="{FF2B5EF4-FFF2-40B4-BE49-F238E27FC236}">
              <a16:creationId xmlns:a16="http://schemas.microsoft.com/office/drawing/2014/main" id="{00000000-0008-0000-0300-00001A8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6675"/>
          <a:ext cx="6819900" cy="8991600"/>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0</xdr:row>
      <xdr:rowOff>47625</xdr:rowOff>
    </xdr:from>
    <xdr:to>
      <xdr:col>18</xdr:col>
      <xdr:colOff>66675</xdr:colOff>
      <xdr:row>51</xdr:row>
      <xdr:rowOff>38100</xdr:rowOff>
    </xdr:to>
    <xdr:pic>
      <xdr:nvPicPr>
        <xdr:cNvPr id="35867" name="Grafik 2">
          <a:extLst>
            <a:ext uri="{FF2B5EF4-FFF2-40B4-BE49-F238E27FC236}">
              <a16:creationId xmlns:a16="http://schemas.microsoft.com/office/drawing/2014/main" id="{00000000-0008-0000-0300-00001B8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7525" y="47625"/>
          <a:ext cx="6915150" cy="97059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104775</xdr:colOff>
      <xdr:row>0</xdr:row>
      <xdr:rowOff>47625</xdr:rowOff>
    </xdr:from>
    <xdr:to>
      <xdr:col>27</xdr:col>
      <xdr:colOff>180975</xdr:colOff>
      <xdr:row>49</xdr:row>
      <xdr:rowOff>28575</xdr:rowOff>
    </xdr:to>
    <xdr:pic>
      <xdr:nvPicPr>
        <xdr:cNvPr id="35868" name="Grafik 3">
          <a:extLst>
            <a:ext uri="{FF2B5EF4-FFF2-40B4-BE49-F238E27FC236}">
              <a16:creationId xmlns:a16="http://schemas.microsoft.com/office/drawing/2014/main" id="{00000000-0008-0000-0300-00001C8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20775" y="47625"/>
          <a:ext cx="6934200" cy="93154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219075</xdr:colOff>
      <xdr:row>0</xdr:row>
      <xdr:rowOff>47625</xdr:rowOff>
    </xdr:from>
    <xdr:to>
      <xdr:col>36</xdr:col>
      <xdr:colOff>276225</xdr:colOff>
      <xdr:row>50</xdr:row>
      <xdr:rowOff>76200</xdr:rowOff>
    </xdr:to>
    <xdr:pic>
      <xdr:nvPicPr>
        <xdr:cNvPr id="35869" name="Grafik 4">
          <a:extLst>
            <a:ext uri="{FF2B5EF4-FFF2-40B4-BE49-F238E27FC236}">
              <a16:creationId xmlns:a16="http://schemas.microsoft.com/office/drawing/2014/main" id="{00000000-0008-0000-0300-00001D8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93075" y="47625"/>
          <a:ext cx="6915150" cy="95535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323850</xdr:colOff>
      <xdr:row>0</xdr:row>
      <xdr:rowOff>47625</xdr:rowOff>
    </xdr:from>
    <xdr:to>
      <xdr:col>44</xdr:col>
      <xdr:colOff>685800</xdr:colOff>
      <xdr:row>18</xdr:row>
      <xdr:rowOff>19050</xdr:rowOff>
    </xdr:to>
    <xdr:pic>
      <xdr:nvPicPr>
        <xdr:cNvPr id="35870" name="Grafik 5">
          <a:extLst>
            <a:ext uri="{FF2B5EF4-FFF2-40B4-BE49-F238E27FC236}">
              <a16:creationId xmlns:a16="http://schemas.microsoft.com/office/drawing/2014/main" id="{00000000-0008-0000-0300-00001E8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755850" y="47625"/>
          <a:ext cx="6457950" cy="340042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180975</xdr:colOff>
      <xdr:row>9</xdr:row>
      <xdr:rowOff>152400</xdr:rowOff>
    </xdr:from>
    <xdr:to>
      <xdr:col>26</xdr:col>
      <xdr:colOff>295275</xdr:colOff>
      <xdr:row>11</xdr:row>
      <xdr:rowOff>38100</xdr:rowOff>
    </xdr:to>
    <xdr:sp macro="" textlink="">
      <xdr:nvSpPr>
        <xdr:cNvPr id="2146" name="Rectangle 1">
          <a:extLst>
            <a:ext uri="{FF2B5EF4-FFF2-40B4-BE49-F238E27FC236}">
              <a16:creationId xmlns:a16="http://schemas.microsoft.com/office/drawing/2014/main" id="{00000000-0008-0000-0500-000062080000}"/>
            </a:ext>
          </a:extLst>
        </xdr:cNvPr>
        <xdr:cNvSpPr>
          <a:spLocks noChangeArrowheads="1"/>
        </xdr:cNvSpPr>
      </xdr:nvSpPr>
      <xdr:spPr bwMode="auto">
        <a:xfrm>
          <a:off x="10077450" y="1876425"/>
          <a:ext cx="114300" cy="266700"/>
        </a:xfrm>
        <a:prstGeom prst="rect">
          <a:avLst/>
        </a:prstGeom>
        <a:solidFill>
          <a:srgbClr val="FFFFFF"/>
        </a:solidFill>
        <a:ln w="19050">
          <a:solidFill>
            <a:srgbClr val="000000"/>
          </a:solidFill>
          <a:round/>
          <a:headEnd/>
          <a:tailEnd/>
        </a:ln>
      </xdr:spPr>
    </xdr:sp>
    <xdr:clientData/>
  </xdr:twoCellAnchor>
  <xdr:twoCellAnchor>
    <xdr:from>
      <xdr:col>27</xdr:col>
      <xdr:colOff>104775</xdr:colOff>
      <xdr:row>10</xdr:row>
      <xdr:rowOff>123825</xdr:rowOff>
    </xdr:from>
    <xdr:to>
      <xdr:col>27</xdr:col>
      <xdr:colOff>314325</xdr:colOff>
      <xdr:row>12</xdr:row>
      <xdr:rowOff>76200</xdr:rowOff>
    </xdr:to>
    <xdr:sp macro="" textlink="">
      <xdr:nvSpPr>
        <xdr:cNvPr id="2147" name="Oval 2">
          <a:extLst>
            <a:ext uri="{FF2B5EF4-FFF2-40B4-BE49-F238E27FC236}">
              <a16:creationId xmlns:a16="http://schemas.microsoft.com/office/drawing/2014/main" id="{00000000-0008-0000-0500-000063080000}"/>
            </a:ext>
          </a:extLst>
        </xdr:cNvPr>
        <xdr:cNvSpPr>
          <a:spLocks noChangeArrowheads="1"/>
        </xdr:cNvSpPr>
      </xdr:nvSpPr>
      <xdr:spPr bwMode="auto">
        <a:xfrm>
          <a:off x="10391775" y="2038350"/>
          <a:ext cx="209550" cy="333375"/>
        </a:xfrm>
        <a:prstGeom prst="ellipse">
          <a:avLst/>
        </a:prstGeom>
        <a:solidFill>
          <a:srgbClr val="FFFFFF"/>
        </a:solidFill>
        <a:ln w="19050">
          <a:solidFill>
            <a:srgbClr val="000000"/>
          </a:solidFill>
          <a:round/>
          <a:headEnd/>
          <a:tailEnd/>
        </a:ln>
      </xdr:spPr>
    </xdr:sp>
    <xdr:clientData/>
  </xdr:twoCellAnchor>
  <xdr:twoCellAnchor>
    <xdr:from>
      <xdr:col>29</xdr:col>
      <xdr:colOff>247650</xdr:colOff>
      <xdr:row>10</xdr:row>
      <xdr:rowOff>180975</xdr:rowOff>
    </xdr:from>
    <xdr:to>
      <xdr:col>29</xdr:col>
      <xdr:colOff>247650</xdr:colOff>
      <xdr:row>12</xdr:row>
      <xdr:rowOff>85725</xdr:rowOff>
    </xdr:to>
    <xdr:sp macro="" textlink="">
      <xdr:nvSpPr>
        <xdr:cNvPr id="2148" name="Line 3">
          <a:extLst>
            <a:ext uri="{FF2B5EF4-FFF2-40B4-BE49-F238E27FC236}">
              <a16:creationId xmlns:a16="http://schemas.microsoft.com/office/drawing/2014/main" id="{00000000-0008-0000-0500-000064080000}"/>
            </a:ext>
          </a:extLst>
        </xdr:cNvPr>
        <xdr:cNvSpPr>
          <a:spLocks noChangeShapeType="1"/>
        </xdr:cNvSpPr>
      </xdr:nvSpPr>
      <xdr:spPr bwMode="auto">
        <a:xfrm>
          <a:off x="11353800" y="2095500"/>
          <a:ext cx="0" cy="285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505354</xdr:colOff>
      <xdr:row>11</xdr:row>
      <xdr:rowOff>133615</xdr:rowOff>
    </xdr:from>
    <xdr:to>
      <xdr:col>27</xdr:col>
      <xdr:colOff>505354</xdr:colOff>
      <xdr:row>13</xdr:row>
      <xdr:rowOff>50271</xdr:rowOff>
    </xdr:to>
    <xdr:cxnSp macro="">
      <xdr:nvCxnSpPr>
        <xdr:cNvPr id="6" name="Gerade Verbindung 5">
          <a:extLst>
            <a:ext uri="{FF2B5EF4-FFF2-40B4-BE49-F238E27FC236}">
              <a16:creationId xmlns:a16="http://schemas.microsoft.com/office/drawing/2014/main" id="{00000000-0008-0000-0500-000006000000}"/>
            </a:ext>
          </a:extLst>
        </xdr:cNvPr>
        <xdr:cNvCxnSpPr/>
      </xdr:nvCxnSpPr>
      <xdr:spPr>
        <a:xfrm>
          <a:off x="10771187" y="2049198"/>
          <a:ext cx="0" cy="29765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190500</xdr:colOff>
      <xdr:row>9</xdr:row>
      <xdr:rowOff>127000</xdr:rowOff>
    </xdr:from>
    <xdr:ext cx="1957267" cy="280205"/>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8477250" y="1841500"/>
          <a:ext cx="1957267" cy="280205"/>
        </a:xfrm>
        <a:prstGeom prst="rect">
          <a:avLst/>
        </a:prstGeom>
        <a:solidFill>
          <a:srgbClr val="FFC00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de-DE" sz="1100" b="1"/>
            <a:t>Relevant: Heff ≥ 4-5 *</a:t>
          </a:r>
          <a:r>
            <a:rPr lang="de-DE" sz="1100" b="1" baseline="0"/>
            <a:t> h</a:t>
          </a:r>
          <a:r>
            <a:rPr lang="de-DE" sz="1200" b="1" baseline="-25000"/>
            <a:t>Fisch</a:t>
          </a:r>
          <a:r>
            <a:rPr lang="de-DE" sz="1100" b="1" baseline="0"/>
            <a:t>/Sg</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21167</xdr:colOff>
      <xdr:row>12</xdr:row>
      <xdr:rowOff>116417</xdr:rowOff>
    </xdr:from>
    <xdr:ext cx="1957267" cy="280205"/>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7874000" y="2413000"/>
          <a:ext cx="1957267" cy="280205"/>
        </a:xfrm>
        <a:prstGeom prst="rect">
          <a:avLst/>
        </a:prstGeom>
        <a:solidFill>
          <a:srgbClr val="FFC00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de-DE" sz="1100" b="1"/>
            <a:t>Relevant: Heff ≥ 4-5 *</a:t>
          </a:r>
          <a:r>
            <a:rPr lang="de-DE" sz="1100" b="1" baseline="0"/>
            <a:t> h</a:t>
          </a:r>
          <a:r>
            <a:rPr lang="de-DE" sz="1200" b="1" baseline="-25000"/>
            <a:t>Fisch</a:t>
          </a:r>
          <a:r>
            <a:rPr lang="de-DE" sz="1100" b="1" baseline="0"/>
            <a:t>/Sg</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646906</xdr:colOff>
      <xdr:row>2</xdr:row>
      <xdr:rowOff>7937</xdr:rowOff>
    </xdr:from>
    <xdr:ext cx="5497274" cy="436786"/>
    <xdr:sp macro="" textlink="">
      <xdr:nvSpPr>
        <xdr:cNvPr id="2" name="Textfeld 1">
          <a:extLst>
            <a:ext uri="{FF2B5EF4-FFF2-40B4-BE49-F238E27FC236}">
              <a16:creationId xmlns:a16="http://schemas.microsoft.com/office/drawing/2014/main" id="{6F1D009D-5BD0-416F-A7F5-A660253E615D}"/>
            </a:ext>
          </a:extLst>
        </xdr:cNvPr>
        <xdr:cNvSpPr txBox="1"/>
      </xdr:nvSpPr>
      <xdr:spPr>
        <a:xfrm>
          <a:off x="9771856" y="392112"/>
          <a:ext cx="5497274" cy="436786"/>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de-DE" sz="1100" b="1">
              <a:solidFill>
                <a:schemeClr val="tx1"/>
              </a:solidFill>
              <a:effectLst/>
              <a:latin typeface="+mn-lt"/>
              <a:ea typeface="+mn-ea"/>
              <a:cs typeface="+mn-cs"/>
            </a:rPr>
            <a:t>Die Berechnung ist für regelmäßige und unregelmäßige Anordnung der Störsteine möglich.</a:t>
          </a:r>
          <a:endParaRPr lang="de-DE">
            <a:effectLst/>
          </a:endParaRPr>
        </a:p>
        <a:p>
          <a:r>
            <a:rPr lang="de-DE" sz="1100" b="1">
              <a:solidFill>
                <a:schemeClr val="tx1"/>
              </a:solidFill>
              <a:effectLst/>
              <a:latin typeface="+mn-lt"/>
              <a:ea typeface="+mn-ea"/>
              <a:cs typeface="+mn-cs"/>
            </a:rPr>
            <a:t>Es sind stets</a:t>
          </a:r>
          <a:r>
            <a:rPr lang="de-DE" sz="1100" b="1" baseline="0">
              <a:solidFill>
                <a:schemeClr val="tx1"/>
              </a:solidFill>
              <a:effectLst/>
              <a:latin typeface="+mn-lt"/>
              <a:ea typeface="+mn-ea"/>
              <a:cs typeface="+mn-cs"/>
            </a:rPr>
            <a:t> Probeläufe zur Optimierung der Strömungsverhältnisse erforderlich.</a:t>
          </a:r>
          <a:endParaRPr lang="de-DE">
            <a:effectLst/>
          </a:endParaRPr>
        </a:p>
      </xdr:txBody>
    </xdr:sp>
    <xdr:clientData/>
  </xdr:oneCellAnchor>
  <xdr:twoCellAnchor>
    <xdr:from>
      <xdr:col>3</xdr:col>
      <xdr:colOff>152400</xdr:colOff>
      <xdr:row>48</xdr:row>
      <xdr:rowOff>123825</xdr:rowOff>
    </xdr:from>
    <xdr:to>
      <xdr:col>4</xdr:col>
      <xdr:colOff>695325</xdr:colOff>
      <xdr:row>50</xdr:row>
      <xdr:rowOff>9525</xdr:rowOff>
    </xdr:to>
    <xdr:cxnSp macro="">
      <xdr:nvCxnSpPr>
        <xdr:cNvPr id="3" name="Gerade Verbindung mit Pfeil 2">
          <a:extLst>
            <a:ext uri="{FF2B5EF4-FFF2-40B4-BE49-F238E27FC236}">
              <a16:creationId xmlns:a16="http://schemas.microsoft.com/office/drawing/2014/main" id="{F4602D80-165E-402C-9966-9502D3FACFF6}"/>
            </a:ext>
          </a:extLst>
        </xdr:cNvPr>
        <xdr:cNvCxnSpPr/>
      </xdr:nvCxnSpPr>
      <xdr:spPr>
        <a:xfrm flipH="1" flipV="1">
          <a:off x="4486275" y="9217025"/>
          <a:ext cx="1301750"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xdr:colOff>
      <xdr:row>50</xdr:row>
      <xdr:rowOff>95250</xdr:rowOff>
    </xdr:from>
    <xdr:to>
      <xdr:col>4</xdr:col>
      <xdr:colOff>666750</xdr:colOff>
      <xdr:row>50</xdr:row>
      <xdr:rowOff>104775</xdr:rowOff>
    </xdr:to>
    <xdr:cxnSp macro="">
      <xdr:nvCxnSpPr>
        <xdr:cNvPr id="4" name="Gerade Verbindung mit Pfeil 3">
          <a:extLst>
            <a:ext uri="{FF2B5EF4-FFF2-40B4-BE49-F238E27FC236}">
              <a16:creationId xmlns:a16="http://schemas.microsoft.com/office/drawing/2014/main" id="{BAB7F910-B742-45B1-AB7E-D69E917F90D0}"/>
            </a:ext>
          </a:extLst>
        </xdr:cNvPr>
        <xdr:cNvCxnSpPr/>
      </xdr:nvCxnSpPr>
      <xdr:spPr>
        <a:xfrm flipH="1">
          <a:off x="4435475" y="9582150"/>
          <a:ext cx="132715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53</xdr:row>
      <xdr:rowOff>104775</xdr:rowOff>
    </xdr:from>
    <xdr:to>
      <xdr:col>3</xdr:col>
      <xdr:colOff>704850</xdr:colOff>
      <xdr:row>53</xdr:row>
      <xdr:rowOff>114300</xdr:rowOff>
    </xdr:to>
    <xdr:cxnSp macro="">
      <xdr:nvCxnSpPr>
        <xdr:cNvPr id="5" name="Gerade Verbindung mit Pfeil 4">
          <a:extLst>
            <a:ext uri="{FF2B5EF4-FFF2-40B4-BE49-F238E27FC236}">
              <a16:creationId xmlns:a16="http://schemas.microsoft.com/office/drawing/2014/main" id="{3C9EE086-433E-435B-BB31-3C5AD7C46569}"/>
            </a:ext>
          </a:extLst>
        </xdr:cNvPr>
        <xdr:cNvCxnSpPr/>
      </xdr:nvCxnSpPr>
      <xdr:spPr>
        <a:xfrm flipH="1">
          <a:off x="4486275" y="10150475"/>
          <a:ext cx="552450" cy="1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13</xdr:col>
      <xdr:colOff>458644</xdr:colOff>
      <xdr:row>38</xdr:row>
      <xdr:rowOff>35889</xdr:rowOff>
    </xdr:to>
    <xdr:pic>
      <xdr:nvPicPr>
        <xdr:cNvPr id="2" name="Grafik 1">
          <a:extLst>
            <a:ext uri="{FF2B5EF4-FFF2-40B4-BE49-F238E27FC236}">
              <a16:creationId xmlns:a16="http://schemas.microsoft.com/office/drawing/2014/main" id="{5C5E0219-3AA7-41CE-AE1B-2087F5D9004D}"/>
            </a:ext>
          </a:extLst>
        </xdr:cNvPr>
        <xdr:cNvPicPr>
          <a:picLocks noChangeAspect="1"/>
        </xdr:cNvPicPr>
      </xdr:nvPicPr>
      <xdr:blipFill>
        <a:blip xmlns:r="http://schemas.openxmlformats.org/officeDocument/2006/relationships" r:embed="rId1"/>
        <a:stretch>
          <a:fillRect/>
        </a:stretch>
      </xdr:blipFill>
      <xdr:spPr>
        <a:xfrm>
          <a:off x="19050" y="9525"/>
          <a:ext cx="10345594" cy="690341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p-darmstadt.hessen.d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workbookViewId="0">
      <selection activeCell="B16" sqref="B16"/>
    </sheetView>
  </sheetViews>
  <sheetFormatPr baseColWidth="10" defaultColWidth="133.1796875" defaultRowHeight="14.5" x14ac:dyDescent="0.35"/>
  <cols>
    <col min="1" max="16384" width="133.1796875" style="2"/>
  </cols>
  <sheetData>
    <row r="1" spans="1:1" ht="15.5" x14ac:dyDescent="0.35">
      <c r="A1" s="1" t="s">
        <v>0</v>
      </c>
    </row>
    <row r="2" spans="1:1" ht="15.5" x14ac:dyDescent="0.35">
      <c r="A2" s="1"/>
    </row>
    <row r="3" spans="1:1" ht="15.5" x14ac:dyDescent="0.35">
      <c r="A3" s="1"/>
    </row>
    <row r="4" spans="1:1" x14ac:dyDescent="0.35">
      <c r="A4" s="127"/>
    </row>
    <row r="5" spans="1:1" ht="14.25" customHeight="1" x14ac:dyDescent="0.35">
      <c r="A5" s="128" t="s">
        <v>169</v>
      </c>
    </row>
    <row r="6" spans="1:1" ht="14.25" customHeight="1" x14ac:dyDescent="0.35">
      <c r="A6" s="128"/>
    </row>
    <row r="7" spans="1:1" ht="14.25" customHeight="1" x14ac:dyDescent="0.35">
      <c r="A7" s="128"/>
    </row>
    <row r="8" spans="1:1" ht="15" customHeight="1" x14ac:dyDescent="0.35">
      <c r="A8" s="128"/>
    </row>
    <row r="9" spans="1:1" ht="22.5" customHeight="1" x14ac:dyDescent="0.35">
      <c r="A9" s="1" t="s">
        <v>1</v>
      </c>
    </row>
    <row r="10" spans="1:1" ht="84.5" x14ac:dyDescent="0.35">
      <c r="A10" s="129" t="s">
        <v>168</v>
      </c>
    </row>
    <row r="11" spans="1:1" ht="15.5" x14ac:dyDescent="0.35">
      <c r="A11" s="1" t="s">
        <v>278</v>
      </c>
    </row>
    <row r="12" spans="1:1" ht="28.5" x14ac:dyDescent="0.35">
      <c r="A12" s="129" t="s">
        <v>280</v>
      </c>
    </row>
    <row r="13" spans="1:1" x14ac:dyDescent="0.35">
      <c r="A13" s="146" t="s">
        <v>279</v>
      </c>
    </row>
    <row r="14" spans="1:1" x14ac:dyDescent="0.35">
      <c r="A14" s="128" t="s">
        <v>382</v>
      </c>
    </row>
    <row r="15" spans="1:1" x14ac:dyDescent="0.35">
      <c r="A15" s="128"/>
    </row>
    <row r="16" spans="1:1" ht="30.75" customHeight="1" x14ac:dyDescent="0.35">
      <c r="A16" s="3" t="s">
        <v>2</v>
      </c>
    </row>
    <row r="17" spans="1:1" ht="30" customHeight="1" x14ac:dyDescent="0.35">
      <c r="A17" s="130" t="s">
        <v>3</v>
      </c>
    </row>
    <row r="18" spans="1:1" ht="181.5" customHeight="1" x14ac:dyDescent="0.35">
      <c r="A18" s="130" t="s">
        <v>277</v>
      </c>
    </row>
    <row r="19" spans="1:1" ht="26.5" x14ac:dyDescent="0.35">
      <c r="A19" s="131" t="s">
        <v>4</v>
      </c>
    </row>
    <row r="22" spans="1:1" x14ac:dyDescent="0.35">
      <c r="A22" s="146"/>
    </row>
  </sheetData>
  <hyperlinks>
    <hyperlink ref="A13"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topLeftCell="A7" workbookViewId="0">
      <selection activeCell="O17" sqref="O17"/>
    </sheetView>
  </sheetViews>
  <sheetFormatPr baseColWidth="10" defaultRowHeight="14.5" x14ac:dyDescent="0.35"/>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1"/>
  <sheetViews>
    <sheetView workbookViewId="0">
      <selection activeCell="O28" sqref="O28"/>
    </sheetView>
  </sheetViews>
  <sheetFormatPr baseColWidth="10" defaultRowHeight="14.5" x14ac:dyDescent="0.35"/>
  <cols>
    <col min="3" max="3" width="17.7265625" customWidth="1"/>
  </cols>
  <sheetData>
    <row r="1" spans="1:8" x14ac:dyDescent="0.35">
      <c r="A1" s="4" t="s">
        <v>328</v>
      </c>
    </row>
    <row r="2" spans="1:8" x14ac:dyDescent="0.35">
      <c r="A2" t="s">
        <v>126</v>
      </c>
    </row>
    <row r="3" spans="1:8" x14ac:dyDescent="0.35">
      <c r="A3" s="4" t="s">
        <v>127</v>
      </c>
    </row>
    <row r="4" spans="1:8" x14ac:dyDescent="0.35">
      <c r="G4" s="16" t="s">
        <v>128</v>
      </c>
    </row>
    <row r="5" spans="1:8" x14ac:dyDescent="0.35">
      <c r="C5" s="11"/>
      <c r="G5" s="13" t="s">
        <v>128</v>
      </c>
    </row>
    <row r="6" spans="1:8" x14ac:dyDescent="0.35">
      <c r="C6" s="12" t="s">
        <v>129</v>
      </c>
      <c r="D6" s="16">
        <v>1</v>
      </c>
      <c r="E6" t="s">
        <v>130</v>
      </c>
      <c r="G6" s="113" t="s">
        <v>131</v>
      </c>
    </row>
    <row r="7" spans="1:8" x14ac:dyDescent="0.35">
      <c r="C7" s="12" t="s">
        <v>132</v>
      </c>
      <c r="D7" s="16">
        <v>0.62</v>
      </c>
      <c r="E7" t="s">
        <v>133</v>
      </c>
    </row>
    <row r="8" spans="1:8" x14ac:dyDescent="0.35">
      <c r="C8" s="12" t="s">
        <v>134</v>
      </c>
      <c r="D8" s="16">
        <v>0.26</v>
      </c>
    </row>
    <row r="9" spans="1:8" ht="15" x14ac:dyDescent="0.4">
      <c r="C9" s="12" t="s">
        <v>135</v>
      </c>
      <c r="D9" s="210">
        <v>2.6499999999999999E-2</v>
      </c>
      <c r="F9" s="11" t="s">
        <v>136</v>
      </c>
      <c r="G9" s="114">
        <f>D12/D9</f>
        <v>11.320754716981131</v>
      </c>
    </row>
    <row r="10" spans="1:8" ht="15" x14ac:dyDescent="0.4">
      <c r="C10" s="209" t="s">
        <v>326</v>
      </c>
      <c r="D10" s="16">
        <v>0.3</v>
      </c>
      <c r="F10" s="11" t="s">
        <v>138</v>
      </c>
      <c r="G10" s="114">
        <f>D14/D9</f>
        <v>0</v>
      </c>
    </row>
    <row r="11" spans="1:8" x14ac:dyDescent="0.35">
      <c r="C11" s="209" t="s">
        <v>327</v>
      </c>
      <c r="D11" s="16">
        <v>0</v>
      </c>
      <c r="F11" s="12" t="s">
        <v>139</v>
      </c>
      <c r="G11" s="115">
        <f>D7/SQRT(1+D7*D9/D12)</f>
        <v>0.60368931793792613</v>
      </c>
    </row>
    <row r="12" spans="1:8" ht="15" x14ac:dyDescent="0.4">
      <c r="C12" s="12" t="s">
        <v>137</v>
      </c>
      <c r="D12" s="114">
        <f>D10-D11</f>
        <v>0.3</v>
      </c>
    </row>
    <row r="14" spans="1:8" x14ac:dyDescent="0.35">
      <c r="C14" s="11" t="s">
        <v>140</v>
      </c>
      <c r="D14" s="13">
        <v>0</v>
      </c>
      <c r="F14" s="12" t="s">
        <v>141</v>
      </c>
      <c r="G14" s="116">
        <f>D17/(D8*D9)</f>
        <v>1.4646154803219245</v>
      </c>
    </row>
    <row r="15" spans="1:8" x14ac:dyDescent="0.35">
      <c r="F15" s="11" t="s">
        <v>142</v>
      </c>
      <c r="G15" s="117">
        <f>D7/2*(SQRT(1+(16*G9)/D7*(1+D7*D9/D12))-1)*D9</f>
        <v>0.13622621927275469</v>
      </c>
      <c r="H15" s="4" t="s">
        <v>143</v>
      </c>
    </row>
    <row r="17" spans="3:15" ht="15.5" x14ac:dyDescent="0.35">
      <c r="C17" s="11" t="s">
        <v>144</v>
      </c>
      <c r="D17" s="253">
        <f>D6*G11*D8*D9*SQRT(2*9.81*D12)</f>
        <v>1.009120065941806E-2</v>
      </c>
    </row>
    <row r="19" spans="3:15" x14ac:dyDescent="0.35">
      <c r="C19" s="118" t="s">
        <v>145</v>
      </c>
    </row>
    <row r="20" spans="3:15" x14ac:dyDescent="0.35">
      <c r="C20" s="118" t="s">
        <v>146</v>
      </c>
    </row>
    <row r="23" spans="3:15" x14ac:dyDescent="0.35">
      <c r="C23" s="15"/>
    </row>
    <row r="25" spans="3:15" x14ac:dyDescent="0.35">
      <c r="M25">
        <f>(550+85)/60</f>
        <v>10.583333333333334</v>
      </c>
    </row>
    <row r="27" spans="3:15" x14ac:dyDescent="0.35">
      <c r="N27" t="s">
        <v>390</v>
      </c>
      <c r="O27" t="s">
        <v>391</v>
      </c>
    </row>
    <row r="28" spans="3:15" x14ac:dyDescent="0.35">
      <c r="M28" t="s">
        <v>387</v>
      </c>
      <c r="N28">
        <v>0.56000000000000005</v>
      </c>
      <c r="O28">
        <f>N29*O31</f>
        <v>2.0280000000000003E-2</v>
      </c>
    </row>
    <row r="29" spans="3:15" x14ac:dyDescent="0.35">
      <c r="M29" t="s">
        <v>388</v>
      </c>
      <c r="N29">
        <f>0.26*0.26</f>
        <v>6.7600000000000007E-2</v>
      </c>
    </row>
    <row r="31" spans="3:15" x14ac:dyDescent="0.35">
      <c r="M31" t="s">
        <v>389</v>
      </c>
      <c r="N31">
        <f>N28/N29/1000</f>
        <v>8.2840236686390536E-3</v>
      </c>
      <c r="O31">
        <v>0.3</v>
      </c>
    </row>
  </sheetData>
  <pageMargins left="0.70866141732283472" right="0.70866141732283472" top="0.78740157480314965" bottom="0.78740157480314965"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3"/>
  <sheetViews>
    <sheetView workbookViewId="0">
      <selection activeCell="E8" sqref="E8"/>
    </sheetView>
  </sheetViews>
  <sheetFormatPr baseColWidth="10" defaultRowHeight="14.5" x14ac:dyDescent="0.35"/>
  <cols>
    <col min="1" max="1" width="0.81640625" customWidth="1"/>
    <col min="2" max="2" width="15.1796875" customWidth="1"/>
    <col min="9" max="9" width="8.54296875" customWidth="1"/>
    <col min="11" max="12" width="10.1796875" customWidth="1"/>
    <col min="13" max="13" width="7.7265625" customWidth="1"/>
    <col min="14" max="14" width="8" customWidth="1"/>
    <col min="15" max="15" width="7" customWidth="1"/>
    <col min="16" max="16" width="7.81640625" customWidth="1"/>
    <col min="17" max="17" width="8.54296875" customWidth="1"/>
    <col min="18" max="19" width="7.1796875" customWidth="1"/>
    <col min="20" max="20" width="10" customWidth="1"/>
    <col min="21" max="23" width="15.26953125" customWidth="1"/>
    <col min="24" max="24" width="10.7265625" customWidth="1"/>
    <col min="25" max="25" width="9.453125" customWidth="1"/>
    <col min="28" max="28" width="7.453125" customWidth="1"/>
    <col min="29" max="29" width="10.26953125" customWidth="1"/>
    <col min="30" max="30" width="8.1796875" customWidth="1"/>
    <col min="31" max="31" width="7.81640625" customWidth="1"/>
    <col min="32" max="32" width="6.1796875" customWidth="1"/>
    <col min="33" max="33" width="7.1796875" customWidth="1"/>
    <col min="34" max="34" width="7.26953125" customWidth="1"/>
    <col min="35" max="35" width="6" customWidth="1"/>
    <col min="36" max="36" width="7.7265625" customWidth="1"/>
    <col min="37" max="37" width="9.1796875" customWidth="1"/>
    <col min="38" max="38" width="14.1796875" customWidth="1"/>
  </cols>
  <sheetData>
    <row r="1" spans="1:25" x14ac:dyDescent="0.35">
      <c r="B1" s="142" t="s">
        <v>184</v>
      </c>
      <c r="C1" s="149"/>
      <c r="D1" s="149"/>
      <c r="E1" s="149"/>
      <c r="F1" s="149"/>
      <c r="G1" s="149"/>
      <c r="H1" s="149"/>
      <c r="I1" s="149"/>
      <c r="J1" s="149"/>
      <c r="K1" s="149"/>
      <c r="L1" s="149"/>
      <c r="M1" s="149"/>
      <c r="N1" s="149" t="s">
        <v>381</v>
      </c>
    </row>
    <row r="2" spans="1:25" x14ac:dyDescent="0.35">
      <c r="A2" s="149"/>
      <c r="B2" s="149"/>
      <c r="C2" s="149"/>
      <c r="D2" s="149"/>
      <c r="E2" s="149"/>
      <c r="F2" s="149"/>
      <c r="G2" s="149"/>
      <c r="H2" s="149"/>
      <c r="I2" s="149"/>
      <c r="J2" s="149"/>
      <c r="K2" s="149"/>
      <c r="L2" s="149"/>
      <c r="M2" s="149"/>
      <c r="N2" s="149"/>
    </row>
    <row r="3" spans="1:25" x14ac:dyDescent="0.35">
      <c r="A3" s="149"/>
      <c r="B3" s="149"/>
      <c r="C3" s="148" t="s">
        <v>185</v>
      </c>
      <c r="D3" s="149"/>
      <c r="E3" s="149"/>
      <c r="F3" s="149"/>
      <c r="G3" s="149"/>
      <c r="H3" s="149"/>
      <c r="I3" s="149"/>
      <c r="J3" s="149"/>
      <c r="K3" s="149"/>
      <c r="L3" s="149"/>
      <c r="M3" s="149"/>
      <c r="N3" s="149"/>
    </row>
    <row r="4" spans="1:25" x14ac:dyDescent="0.35">
      <c r="A4" s="149"/>
      <c r="B4" s="149"/>
      <c r="C4" s="149"/>
      <c r="D4" s="150" t="s">
        <v>186</v>
      </c>
      <c r="E4" s="151">
        <v>0.9</v>
      </c>
      <c r="F4" s="152" t="s">
        <v>187</v>
      </c>
      <c r="G4" s="153"/>
      <c r="H4" s="153"/>
      <c r="I4" s="153"/>
      <c r="J4" s="154"/>
      <c r="K4" s="154"/>
      <c r="L4" s="163"/>
      <c r="M4" s="149"/>
      <c r="N4" s="149"/>
    </row>
    <row r="5" spans="1:25" x14ac:dyDescent="0.35">
      <c r="A5" s="149"/>
      <c r="B5" s="149"/>
      <c r="C5" s="149"/>
      <c r="D5" s="155" t="s">
        <v>188</v>
      </c>
      <c r="E5" s="151">
        <v>0.8</v>
      </c>
      <c r="F5" s="156" t="s">
        <v>281</v>
      </c>
      <c r="G5" s="157"/>
      <c r="H5" s="157"/>
      <c r="I5" s="157"/>
      <c r="J5" s="158"/>
      <c r="K5" s="157"/>
      <c r="L5" s="157"/>
      <c r="M5" s="157"/>
      <c r="N5" s="157"/>
      <c r="O5" s="159"/>
      <c r="P5" s="160"/>
      <c r="Q5" s="159"/>
      <c r="R5" s="160"/>
    </row>
    <row r="6" spans="1:25" x14ac:dyDescent="0.35">
      <c r="A6" s="149"/>
      <c r="B6" s="149"/>
      <c r="C6" s="149"/>
      <c r="D6" s="150" t="s">
        <v>189</v>
      </c>
      <c r="E6" s="161">
        <v>0.9</v>
      </c>
      <c r="F6" s="162" t="s">
        <v>275</v>
      </c>
      <c r="G6" s="163"/>
      <c r="H6" s="163"/>
      <c r="I6" s="163"/>
      <c r="J6" s="164"/>
      <c r="K6" s="149"/>
      <c r="L6" s="149"/>
      <c r="M6" s="149"/>
      <c r="N6" s="149"/>
    </row>
    <row r="7" spans="1:25" x14ac:dyDescent="0.35">
      <c r="A7" s="149"/>
      <c r="B7" s="149"/>
      <c r="C7" s="149"/>
      <c r="D7" s="150" t="s">
        <v>190</v>
      </c>
      <c r="E7" s="151">
        <v>1</v>
      </c>
      <c r="F7" s="165" t="s">
        <v>191</v>
      </c>
      <c r="G7" s="153"/>
      <c r="H7" s="153"/>
      <c r="I7" s="153"/>
      <c r="J7" s="153"/>
      <c r="K7" s="154"/>
      <c r="L7" s="163"/>
      <c r="M7" s="149"/>
      <c r="N7" s="149"/>
    </row>
    <row r="8" spans="1:25" ht="16" x14ac:dyDescent="0.45">
      <c r="A8" s="149"/>
      <c r="B8" s="149"/>
      <c r="C8" s="149"/>
      <c r="D8" s="149"/>
      <c r="E8" s="166"/>
      <c r="F8" s="162" t="s">
        <v>192</v>
      </c>
      <c r="G8" s="163"/>
      <c r="H8" s="163"/>
      <c r="I8" s="163"/>
      <c r="J8" s="163"/>
      <c r="K8" s="167"/>
      <c r="L8" s="149" t="s">
        <v>193</v>
      </c>
      <c r="M8" s="149"/>
    </row>
    <row r="9" spans="1:25" x14ac:dyDescent="0.35">
      <c r="A9" s="149"/>
      <c r="B9" s="196" t="s">
        <v>272</v>
      </c>
      <c r="C9" s="196"/>
      <c r="D9" s="149"/>
      <c r="E9" s="149"/>
      <c r="F9" s="168" t="s">
        <v>194</v>
      </c>
      <c r="G9" s="169"/>
      <c r="H9" s="169"/>
      <c r="I9" s="169"/>
      <c r="J9" s="169"/>
      <c r="K9" s="170"/>
      <c r="L9" s="163"/>
      <c r="M9" s="149"/>
      <c r="N9" s="149"/>
    </row>
    <row r="10" spans="1:25" x14ac:dyDescent="0.35">
      <c r="A10" s="149"/>
      <c r="B10" s="149"/>
      <c r="C10" s="149"/>
      <c r="D10" s="149"/>
      <c r="E10" s="149"/>
      <c r="F10" s="163"/>
      <c r="G10" s="163"/>
      <c r="H10" s="163"/>
      <c r="I10" s="163"/>
      <c r="J10" s="163"/>
      <c r="K10" s="149"/>
      <c r="L10" s="149"/>
      <c r="M10" s="149"/>
      <c r="N10" s="149"/>
    </row>
    <row r="11" spans="1:25" ht="15.5" x14ac:dyDescent="0.35">
      <c r="A11" s="149"/>
      <c r="B11" s="171" t="s">
        <v>296</v>
      </c>
      <c r="C11" s="149"/>
      <c r="D11" s="149"/>
      <c r="E11" s="149"/>
      <c r="F11" s="149"/>
      <c r="G11" s="149"/>
      <c r="H11" s="199"/>
      <c r="I11" s="149"/>
      <c r="J11" s="171" t="s">
        <v>298</v>
      </c>
      <c r="K11" s="149"/>
      <c r="L11" s="149"/>
      <c r="M11" s="149"/>
      <c r="N11" s="149"/>
    </row>
    <row r="12" spans="1:25" x14ac:dyDescent="0.35">
      <c r="A12" s="149"/>
      <c r="B12" s="149"/>
      <c r="C12" s="149"/>
      <c r="D12" s="149"/>
      <c r="E12" s="149"/>
      <c r="F12" s="149"/>
      <c r="G12" s="149"/>
      <c r="H12" s="149"/>
      <c r="I12" s="149"/>
      <c r="J12" s="149"/>
      <c r="K12" s="149"/>
      <c r="L12" s="149"/>
      <c r="M12" s="149"/>
      <c r="N12" s="149"/>
    </row>
    <row r="13" spans="1:25" x14ac:dyDescent="0.35">
      <c r="A13" s="149"/>
      <c r="B13" s="172" t="s">
        <v>195</v>
      </c>
      <c r="C13" s="149"/>
      <c r="D13" s="149"/>
      <c r="E13" s="149"/>
      <c r="F13" s="149"/>
      <c r="G13" s="149"/>
      <c r="H13" s="149"/>
      <c r="I13" s="149"/>
      <c r="J13" s="149"/>
      <c r="K13" s="173" t="s">
        <v>196</v>
      </c>
      <c r="L13" s="173"/>
      <c r="M13" s="173"/>
      <c r="N13" s="173"/>
      <c r="O13" s="264" t="s">
        <v>197</v>
      </c>
      <c r="P13" s="265"/>
      <c r="Q13" s="265"/>
      <c r="R13" s="266"/>
      <c r="S13" s="267" t="s">
        <v>198</v>
      </c>
      <c r="T13" s="265"/>
      <c r="U13" s="266"/>
      <c r="V13" s="273" t="s">
        <v>340</v>
      </c>
      <c r="W13" s="274"/>
      <c r="X13" s="263" t="s">
        <v>292</v>
      </c>
      <c r="Y13" s="263"/>
    </row>
    <row r="14" spans="1:25" ht="88.5" x14ac:dyDescent="0.45">
      <c r="A14" s="149"/>
      <c r="B14" s="174" t="s">
        <v>199</v>
      </c>
      <c r="C14" s="174" t="s">
        <v>200</v>
      </c>
      <c r="D14" s="174" t="s">
        <v>201</v>
      </c>
      <c r="E14" s="174" t="s">
        <v>202</v>
      </c>
      <c r="F14" s="174" t="s">
        <v>203</v>
      </c>
      <c r="G14" s="174" t="s">
        <v>204</v>
      </c>
      <c r="H14" s="174" t="s">
        <v>205</v>
      </c>
      <c r="I14" s="149"/>
      <c r="J14" s="174" t="s">
        <v>206</v>
      </c>
      <c r="K14" s="174" t="s">
        <v>207</v>
      </c>
      <c r="L14" s="174" t="s">
        <v>330</v>
      </c>
      <c r="M14" s="174" t="s">
        <v>208</v>
      </c>
      <c r="N14" s="174" t="s">
        <v>209</v>
      </c>
      <c r="O14" s="174" t="s">
        <v>210</v>
      </c>
      <c r="P14" s="174" t="s">
        <v>211</v>
      </c>
      <c r="Q14" s="174" t="s">
        <v>286</v>
      </c>
      <c r="R14" s="174" t="s">
        <v>212</v>
      </c>
      <c r="S14" s="174" t="s">
        <v>285</v>
      </c>
      <c r="T14" s="174" t="s">
        <v>283</v>
      </c>
      <c r="U14" s="174" t="s">
        <v>383</v>
      </c>
      <c r="V14" s="174" t="s">
        <v>286</v>
      </c>
      <c r="W14" s="174" t="s">
        <v>285</v>
      </c>
      <c r="X14" s="174" t="s">
        <v>343</v>
      </c>
      <c r="Y14" s="174" t="s">
        <v>294</v>
      </c>
    </row>
    <row r="15" spans="1:25" x14ac:dyDescent="0.35">
      <c r="A15" s="149"/>
      <c r="B15" s="175" t="s">
        <v>213</v>
      </c>
      <c r="C15" s="176">
        <f t="shared" ref="C15:H17" si="0">(C58*$E$4*$E$7)^2/19.62</f>
        <v>0.19981651376146792</v>
      </c>
      <c r="D15" s="176">
        <f t="shared" si="0"/>
        <v>0.18206422018348625</v>
      </c>
      <c r="E15" s="176">
        <f t="shared" si="0"/>
        <v>0.16513761467889909</v>
      </c>
      <c r="F15" s="176">
        <f t="shared" si="0"/>
        <v>0.13376146788990828</v>
      </c>
      <c r="G15" s="176">
        <f t="shared" si="0"/>
        <v>0.11931192660550458</v>
      </c>
      <c r="H15" s="176">
        <f t="shared" si="0"/>
        <v>0.10568807339449543</v>
      </c>
      <c r="I15" s="149"/>
      <c r="J15" s="177" t="s">
        <v>214</v>
      </c>
      <c r="K15" s="173">
        <v>0.5</v>
      </c>
      <c r="L15" s="151">
        <v>0.4</v>
      </c>
      <c r="M15" s="173">
        <v>0.19</v>
      </c>
      <c r="N15" s="173">
        <v>0.1</v>
      </c>
      <c r="O15" s="178">
        <f>3*L15/$E$5</f>
        <v>1.5000000000000002</v>
      </c>
      <c r="P15" s="178">
        <f>L15*3*N15/$E$5</f>
        <v>0.15000000000000002</v>
      </c>
      <c r="Q15" s="178">
        <f>L15*M15*2/E$5</f>
        <v>0.19000000000000003</v>
      </c>
      <c r="R15" s="178">
        <f>L15*2.5*M15/E$5</f>
        <v>0.23749999999999999</v>
      </c>
      <c r="S15" s="178">
        <f>L15*2.5*M15/E$5</f>
        <v>0.23749999999999999</v>
      </c>
      <c r="T15" s="178">
        <f>L15*3/0.8</f>
        <v>1.5000000000000002</v>
      </c>
      <c r="U15" s="178">
        <f>L15*6*N15/$E$5</f>
        <v>0.30000000000000004</v>
      </c>
      <c r="V15" s="178">
        <f>L15*2*M15/0.95</f>
        <v>0.16000000000000003</v>
      </c>
      <c r="W15" s="178">
        <f>L15*2.5*M15/0.95</f>
        <v>0.2</v>
      </c>
      <c r="X15" s="178">
        <f>L15*N15*6/E$5/E$7</f>
        <v>0.30000000000000004</v>
      </c>
      <c r="Y15" s="178">
        <f>L15*N15*9/E$5/E$7</f>
        <v>0.45000000000000012</v>
      </c>
    </row>
    <row r="16" spans="1:25" x14ac:dyDescent="0.35">
      <c r="A16" s="149"/>
      <c r="B16" s="175" t="s">
        <v>215</v>
      </c>
      <c r="C16" s="176">
        <f t="shared" si="0"/>
        <v>0.18206422018348625</v>
      </c>
      <c r="D16" s="176">
        <f t="shared" si="0"/>
        <v>0.16513761467889909</v>
      </c>
      <c r="E16" s="176">
        <f t="shared" si="0"/>
        <v>0.14903669724770641</v>
      </c>
      <c r="F16" s="176">
        <f t="shared" si="0"/>
        <v>0.11931192660550458</v>
      </c>
      <c r="G16" s="176">
        <f t="shared" si="0"/>
        <v>0.10568807339449543</v>
      </c>
      <c r="H16" s="176">
        <f t="shared" si="0"/>
        <v>9.2889908256880746E-2</v>
      </c>
      <c r="I16" s="149"/>
      <c r="J16" s="177" t="s">
        <v>216</v>
      </c>
      <c r="K16" s="173">
        <v>0.5</v>
      </c>
      <c r="L16" s="151">
        <v>0.5</v>
      </c>
      <c r="M16" s="173">
        <v>0.19</v>
      </c>
      <c r="N16" s="173">
        <v>0.1</v>
      </c>
      <c r="O16" s="178">
        <f t="shared" ref="O16:O34" si="1">3*L16/$E$5</f>
        <v>1.875</v>
      </c>
      <c r="P16" s="178">
        <f t="shared" ref="P16:P34" si="2">L16*3*N16/$E$5</f>
        <v>0.18750000000000003</v>
      </c>
      <c r="Q16" s="178">
        <f t="shared" ref="Q16:Q34" si="3">L16*M16*2/E$5</f>
        <v>0.23749999999999999</v>
      </c>
      <c r="R16" s="178">
        <f t="shared" ref="R16:R34" si="4">L16*2.5*M16/E$5</f>
        <v>0.29687499999999994</v>
      </c>
      <c r="S16" s="178">
        <f t="shared" ref="S16:S34" si="5">L16*2.5*M16/E$5</f>
        <v>0.29687499999999994</v>
      </c>
      <c r="T16" s="178">
        <f t="shared" ref="T16:T34" si="6">L16*3/0.8</f>
        <v>1.875</v>
      </c>
      <c r="U16" s="178">
        <f t="shared" ref="U16:U34" si="7">L16*6*N16/$E$5</f>
        <v>0.37500000000000006</v>
      </c>
      <c r="V16" s="178">
        <f t="shared" ref="V16:V34" si="8">L16*2*M16/0.95</f>
        <v>0.2</v>
      </c>
      <c r="W16" s="178">
        <f t="shared" ref="W16:W34" si="9">L16*2.5*M16/0.95</f>
        <v>0.25</v>
      </c>
      <c r="X16" s="178">
        <f t="shared" ref="X16:X34" si="10">L16*N16*6/E$5/E$7</f>
        <v>0.37500000000000006</v>
      </c>
      <c r="Y16" s="178">
        <f t="shared" ref="Y16:Y34" si="11">L16*N16*9/E$5/E$7</f>
        <v>0.5625</v>
      </c>
    </row>
    <row r="17" spans="1:25" x14ac:dyDescent="0.35">
      <c r="A17" s="149"/>
      <c r="B17" s="175" t="s">
        <v>217</v>
      </c>
      <c r="C17" s="176">
        <f t="shared" si="0"/>
        <v>0.16513761467889909</v>
      </c>
      <c r="D17" s="176">
        <f t="shared" si="0"/>
        <v>0.14903669724770641</v>
      </c>
      <c r="E17" s="176">
        <f t="shared" si="0"/>
        <v>0.13376146788990828</v>
      </c>
      <c r="F17" s="176">
        <f t="shared" si="0"/>
        <v>0.10568807339449543</v>
      </c>
      <c r="G17" s="176">
        <f t="shared" si="0"/>
        <v>9.2889908256880746E-2</v>
      </c>
      <c r="H17" s="176">
        <f t="shared" si="0"/>
        <v>8.0917431192660552E-2</v>
      </c>
      <c r="I17" s="149"/>
      <c r="J17" s="177" t="s">
        <v>218</v>
      </c>
      <c r="K17" s="179">
        <v>0.6</v>
      </c>
      <c r="L17" s="151">
        <v>0.5</v>
      </c>
      <c r="M17" s="179">
        <v>0.26</v>
      </c>
      <c r="N17" s="179">
        <v>0.17</v>
      </c>
      <c r="O17" s="178">
        <f t="shared" si="1"/>
        <v>1.875</v>
      </c>
      <c r="P17" s="178">
        <f t="shared" si="2"/>
        <v>0.31874999999999998</v>
      </c>
      <c r="Q17" s="178">
        <f t="shared" si="3"/>
        <v>0.32500000000000001</v>
      </c>
      <c r="R17" s="178">
        <f t="shared" si="4"/>
        <v>0.40625</v>
      </c>
      <c r="S17" s="178">
        <f t="shared" si="5"/>
        <v>0.40625</v>
      </c>
      <c r="T17" s="178">
        <f t="shared" si="6"/>
        <v>1.875</v>
      </c>
      <c r="U17" s="178">
        <f t="shared" si="7"/>
        <v>0.63749999999999996</v>
      </c>
      <c r="V17" s="178">
        <f t="shared" si="8"/>
        <v>0.27368421052631581</v>
      </c>
      <c r="W17" s="178">
        <f t="shared" si="9"/>
        <v>0.34210526315789475</v>
      </c>
      <c r="X17" s="178">
        <f t="shared" si="10"/>
        <v>0.63749999999999996</v>
      </c>
      <c r="Y17" s="178">
        <f t="shared" si="11"/>
        <v>0.95624999999999993</v>
      </c>
    </row>
    <row r="18" spans="1:25" x14ac:dyDescent="0.35">
      <c r="A18" s="149"/>
      <c r="B18" s="175" t="s">
        <v>219</v>
      </c>
      <c r="C18" s="176">
        <f>(C61*$E$4*$E$7)^2/19.62</f>
        <v>0.14903669724770641</v>
      </c>
      <c r="D18" s="176">
        <f>(D61*$E$4*$E$7)^2/19.62</f>
        <v>0.13376146788990828</v>
      </c>
      <c r="E18" s="176">
        <f>(E61*$E$4*$E$7)^2/19.62</f>
        <v>0.11931192660550458</v>
      </c>
      <c r="F18" s="268" t="s">
        <v>220</v>
      </c>
      <c r="G18" s="268"/>
      <c r="H18" s="268"/>
      <c r="I18" s="149"/>
      <c r="J18" s="177" t="s">
        <v>221</v>
      </c>
      <c r="K18" s="179">
        <v>1</v>
      </c>
      <c r="L18" s="151">
        <v>1</v>
      </c>
      <c r="M18" s="179">
        <v>0.17</v>
      </c>
      <c r="N18" s="179">
        <v>0.1</v>
      </c>
      <c r="O18" s="178">
        <f t="shared" si="1"/>
        <v>3.75</v>
      </c>
      <c r="P18" s="178">
        <f t="shared" si="2"/>
        <v>0.37500000000000006</v>
      </c>
      <c r="Q18" s="178">
        <f t="shared" si="3"/>
        <v>0.42499999999999999</v>
      </c>
      <c r="R18" s="178">
        <f t="shared" si="4"/>
        <v>0.53125</v>
      </c>
      <c r="S18" s="178">
        <f t="shared" si="5"/>
        <v>0.53125</v>
      </c>
      <c r="T18" s="178">
        <f t="shared" si="6"/>
        <v>3.75</v>
      </c>
      <c r="U18" s="178">
        <f t="shared" si="7"/>
        <v>0.75000000000000011</v>
      </c>
      <c r="V18" s="178">
        <f t="shared" si="8"/>
        <v>0.35789473684210532</v>
      </c>
      <c r="W18" s="178">
        <f t="shared" si="9"/>
        <v>0.44736842105263164</v>
      </c>
      <c r="X18" s="178">
        <f t="shared" si="10"/>
        <v>0.75000000000000011</v>
      </c>
      <c r="Y18" s="178">
        <f t="shared" si="11"/>
        <v>1.125</v>
      </c>
    </row>
    <row r="19" spans="1:25" x14ac:dyDescent="0.35">
      <c r="A19" s="149"/>
      <c r="B19" s="149"/>
      <c r="C19" s="149"/>
      <c r="D19" s="149"/>
      <c r="E19" s="149"/>
      <c r="F19" s="149"/>
      <c r="G19" s="149"/>
      <c r="H19" s="149"/>
      <c r="I19" s="149"/>
      <c r="J19" s="180" t="s">
        <v>222</v>
      </c>
      <c r="K19" s="179">
        <v>0.8</v>
      </c>
      <c r="L19" s="151">
        <v>0.8</v>
      </c>
      <c r="M19" s="179">
        <v>0.21</v>
      </c>
      <c r="N19" s="179">
        <v>0.11</v>
      </c>
      <c r="O19" s="178">
        <f t="shared" si="1"/>
        <v>3.0000000000000004</v>
      </c>
      <c r="P19" s="178">
        <f t="shared" si="2"/>
        <v>0.33000000000000007</v>
      </c>
      <c r="Q19" s="178">
        <f t="shared" si="3"/>
        <v>0.42</v>
      </c>
      <c r="R19" s="178">
        <f t="shared" si="4"/>
        <v>0.52499999999999991</v>
      </c>
      <c r="S19" s="178">
        <f t="shared" si="5"/>
        <v>0.52499999999999991</v>
      </c>
      <c r="T19" s="178">
        <f t="shared" si="6"/>
        <v>3.0000000000000004</v>
      </c>
      <c r="U19" s="178">
        <f t="shared" si="7"/>
        <v>0.66000000000000014</v>
      </c>
      <c r="V19" s="178">
        <f t="shared" si="8"/>
        <v>0.35368421052631582</v>
      </c>
      <c r="W19" s="178">
        <f t="shared" si="9"/>
        <v>0.44210526315789472</v>
      </c>
      <c r="X19" s="178">
        <f t="shared" si="10"/>
        <v>0.66</v>
      </c>
      <c r="Y19" s="178">
        <f t="shared" si="11"/>
        <v>0.99</v>
      </c>
    </row>
    <row r="20" spans="1:25" ht="15.5" x14ac:dyDescent="0.35">
      <c r="A20" s="149"/>
      <c r="B20" s="148" t="s">
        <v>223</v>
      </c>
      <c r="C20" s="149"/>
      <c r="D20" s="149"/>
      <c r="E20" s="149"/>
      <c r="F20" s="149"/>
      <c r="G20" s="149"/>
      <c r="H20" s="149"/>
      <c r="I20" s="149"/>
      <c r="J20" s="180" t="s">
        <v>224</v>
      </c>
      <c r="K20" s="179">
        <v>0.6</v>
      </c>
      <c r="L20" s="151">
        <v>0.6</v>
      </c>
      <c r="M20" s="179">
        <v>0.18</v>
      </c>
      <c r="N20" s="179">
        <v>0.18</v>
      </c>
      <c r="O20" s="178">
        <f t="shared" si="1"/>
        <v>2.2499999999999996</v>
      </c>
      <c r="P20" s="178">
        <f t="shared" si="2"/>
        <v>0.40499999999999992</v>
      </c>
      <c r="Q20" s="178">
        <f t="shared" si="3"/>
        <v>0.26999999999999996</v>
      </c>
      <c r="R20" s="178">
        <f t="shared" si="4"/>
        <v>0.33750000000000002</v>
      </c>
      <c r="S20" s="178">
        <f t="shared" si="5"/>
        <v>0.33750000000000002</v>
      </c>
      <c r="T20" s="178">
        <f t="shared" si="6"/>
        <v>2.2499999999999996</v>
      </c>
      <c r="U20" s="178">
        <f t="shared" si="7"/>
        <v>0.80999999999999983</v>
      </c>
      <c r="V20" s="178">
        <f t="shared" si="8"/>
        <v>0.22736842105263158</v>
      </c>
      <c r="W20" s="178">
        <f t="shared" si="9"/>
        <v>0.28421052631578952</v>
      </c>
      <c r="X20" s="178">
        <f t="shared" si="10"/>
        <v>0.80999999999999994</v>
      </c>
      <c r="Y20" s="178">
        <f t="shared" si="11"/>
        <v>1.2149999999999999</v>
      </c>
    </row>
    <row r="21" spans="1:25" ht="28" x14ac:dyDescent="0.35">
      <c r="A21" s="149"/>
      <c r="B21" s="174" t="s">
        <v>200</v>
      </c>
      <c r="C21" s="174" t="s">
        <v>201</v>
      </c>
      <c r="D21" s="174" t="s">
        <v>202</v>
      </c>
      <c r="E21" s="174" t="s">
        <v>203</v>
      </c>
      <c r="F21" s="174" t="s">
        <v>204</v>
      </c>
      <c r="G21" s="174" t="s">
        <v>205</v>
      </c>
      <c r="H21" s="149"/>
      <c r="I21" s="149"/>
      <c r="J21" s="180" t="s">
        <v>225</v>
      </c>
      <c r="K21" s="179">
        <v>0.4</v>
      </c>
      <c r="L21" s="151">
        <v>0.4</v>
      </c>
      <c r="M21" s="179">
        <v>0.32</v>
      </c>
      <c r="N21" s="179">
        <v>0.15</v>
      </c>
      <c r="O21" s="178">
        <f t="shared" si="1"/>
        <v>1.5000000000000002</v>
      </c>
      <c r="P21" s="178">
        <f t="shared" si="2"/>
        <v>0.22500000000000001</v>
      </c>
      <c r="Q21" s="178">
        <f t="shared" si="3"/>
        <v>0.32</v>
      </c>
      <c r="R21" s="178">
        <f t="shared" si="4"/>
        <v>0.39999999999999997</v>
      </c>
      <c r="S21" s="178">
        <f t="shared" si="5"/>
        <v>0.39999999999999997</v>
      </c>
      <c r="T21" s="178">
        <f t="shared" si="6"/>
        <v>1.5000000000000002</v>
      </c>
      <c r="U21" s="178">
        <f t="shared" si="7"/>
        <v>0.45</v>
      </c>
      <c r="V21" s="178">
        <f t="shared" si="8"/>
        <v>0.26947368421052631</v>
      </c>
      <c r="W21" s="178">
        <f t="shared" si="9"/>
        <v>0.33684210526315794</v>
      </c>
      <c r="X21" s="178">
        <f t="shared" si="10"/>
        <v>0.44999999999999996</v>
      </c>
      <c r="Y21" s="178">
        <f t="shared" si="11"/>
        <v>0.67500000000000004</v>
      </c>
    </row>
    <row r="22" spans="1:25" x14ac:dyDescent="0.35">
      <c r="A22" s="149"/>
      <c r="B22" s="181">
        <f t="shared" ref="B22:G22" si="12">$E$6*$E$7*B67</f>
        <v>225</v>
      </c>
      <c r="C22" s="181">
        <f t="shared" si="12"/>
        <v>202.5</v>
      </c>
      <c r="D22" s="181">
        <f t="shared" si="12"/>
        <v>180</v>
      </c>
      <c r="E22" s="181">
        <f t="shared" si="12"/>
        <v>135</v>
      </c>
      <c r="F22" s="181">
        <f t="shared" si="12"/>
        <v>112.5</v>
      </c>
      <c r="G22" s="181">
        <f t="shared" si="12"/>
        <v>90</v>
      </c>
      <c r="H22" s="149"/>
      <c r="I22" s="149"/>
      <c r="J22" s="180" t="s">
        <v>226</v>
      </c>
      <c r="K22" s="179">
        <v>0.7</v>
      </c>
      <c r="L22" s="151">
        <v>0.7</v>
      </c>
      <c r="M22" s="179">
        <v>0.19</v>
      </c>
      <c r="N22" s="179">
        <v>0.12</v>
      </c>
      <c r="O22" s="178">
        <f t="shared" si="1"/>
        <v>2.6249999999999996</v>
      </c>
      <c r="P22" s="178">
        <f t="shared" si="2"/>
        <v>0.31499999999999989</v>
      </c>
      <c r="Q22" s="178">
        <f t="shared" si="3"/>
        <v>0.33249999999999991</v>
      </c>
      <c r="R22" s="178">
        <f t="shared" si="4"/>
        <v>0.41562500000000002</v>
      </c>
      <c r="S22" s="178">
        <f t="shared" si="5"/>
        <v>0.41562500000000002</v>
      </c>
      <c r="T22" s="178">
        <f t="shared" si="6"/>
        <v>2.6249999999999996</v>
      </c>
      <c r="U22" s="178">
        <f t="shared" si="7"/>
        <v>0.62999999999999978</v>
      </c>
      <c r="V22" s="178">
        <f t="shared" si="8"/>
        <v>0.27999999999999997</v>
      </c>
      <c r="W22" s="178">
        <f t="shared" si="9"/>
        <v>0.35000000000000003</v>
      </c>
      <c r="X22" s="178">
        <f t="shared" si="10"/>
        <v>0.63</v>
      </c>
      <c r="Y22" s="178">
        <f t="shared" si="11"/>
        <v>0.94499999999999984</v>
      </c>
    </row>
    <row r="23" spans="1:25" x14ac:dyDescent="0.35">
      <c r="A23" s="149"/>
      <c r="C23" s="149"/>
      <c r="D23" s="149"/>
      <c r="E23" s="269" t="s">
        <v>227</v>
      </c>
      <c r="F23" s="270"/>
      <c r="G23" s="271"/>
      <c r="H23" s="149"/>
      <c r="I23" s="149"/>
      <c r="J23" s="180" t="s">
        <v>228</v>
      </c>
      <c r="K23" s="179">
        <v>0.6</v>
      </c>
      <c r="L23" s="151">
        <v>0.6</v>
      </c>
      <c r="M23" s="179">
        <v>0.26</v>
      </c>
      <c r="N23" s="179">
        <v>0.16</v>
      </c>
      <c r="O23" s="178">
        <f t="shared" si="1"/>
        <v>2.2499999999999996</v>
      </c>
      <c r="P23" s="178">
        <f t="shared" si="2"/>
        <v>0.35999999999999993</v>
      </c>
      <c r="Q23" s="178">
        <f t="shared" si="3"/>
        <v>0.38999999999999996</v>
      </c>
      <c r="R23" s="178">
        <f t="shared" si="4"/>
        <v>0.48749999999999999</v>
      </c>
      <c r="S23" s="178">
        <f t="shared" si="5"/>
        <v>0.48749999999999999</v>
      </c>
      <c r="T23" s="178">
        <f t="shared" si="6"/>
        <v>2.2499999999999996</v>
      </c>
      <c r="U23" s="178">
        <f t="shared" si="7"/>
        <v>0.71999999999999986</v>
      </c>
      <c r="V23" s="178">
        <f t="shared" si="8"/>
        <v>0.32842105263157895</v>
      </c>
      <c r="W23" s="178">
        <f t="shared" si="9"/>
        <v>0.41052631578947374</v>
      </c>
      <c r="X23" s="178">
        <f t="shared" si="10"/>
        <v>0.72000000000000008</v>
      </c>
      <c r="Y23" s="178">
        <f t="shared" si="11"/>
        <v>1.0799999999999998</v>
      </c>
    </row>
    <row r="24" spans="1:25" x14ac:dyDescent="0.35">
      <c r="A24" s="149"/>
      <c r="B24" s="142" t="s">
        <v>386</v>
      </c>
      <c r="C24" s="149"/>
      <c r="D24" s="149"/>
      <c r="E24" s="181">
        <f>IF(E22&gt;$E$6*$E$7*E69,$E$6*$E$7*E69,E22)</f>
        <v>90</v>
      </c>
      <c r="F24" s="181">
        <f>IF(F22&gt;$E$6*$E$7*F69,$E$6*$E$7*F69,F22)</f>
        <v>90</v>
      </c>
      <c r="G24" s="181">
        <f>IF(G22&gt;$E$6*$E$7*G69,$E$6*$E$7*G69,G22)</f>
        <v>90</v>
      </c>
      <c r="H24" s="149"/>
      <c r="I24" s="149"/>
      <c r="J24" s="180" t="s">
        <v>230</v>
      </c>
      <c r="K24" s="179">
        <v>0.6</v>
      </c>
      <c r="L24" s="151">
        <v>0.6</v>
      </c>
      <c r="M24" s="179">
        <v>0.3</v>
      </c>
      <c r="N24" s="179">
        <v>0.15</v>
      </c>
      <c r="O24" s="178">
        <f t="shared" si="1"/>
        <v>2.2499999999999996</v>
      </c>
      <c r="P24" s="178">
        <f t="shared" si="2"/>
        <v>0.33749999999999991</v>
      </c>
      <c r="Q24" s="178">
        <f t="shared" si="3"/>
        <v>0.44999999999999996</v>
      </c>
      <c r="R24" s="178">
        <f t="shared" si="4"/>
        <v>0.56249999999999989</v>
      </c>
      <c r="S24" s="178">
        <f t="shared" si="5"/>
        <v>0.56249999999999989</v>
      </c>
      <c r="T24" s="178">
        <f t="shared" si="6"/>
        <v>2.2499999999999996</v>
      </c>
      <c r="U24" s="178">
        <f t="shared" si="7"/>
        <v>0.67499999999999982</v>
      </c>
      <c r="V24" s="178">
        <f t="shared" si="8"/>
        <v>0.37894736842105264</v>
      </c>
      <c r="W24" s="178">
        <f t="shared" si="9"/>
        <v>0.47368421052631576</v>
      </c>
      <c r="X24" s="178">
        <f t="shared" si="10"/>
        <v>0.67500000000000004</v>
      </c>
      <c r="Y24" s="178">
        <f t="shared" si="11"/>
        <v>1.0125</v>
      </c>
    </row>
    <row r="25" spans="1:25" x14ac:dyDescent="0.35">
      <c r="A25" s="149"/>
      <c r="B25" s="181">
        <f>$E$6*B71</f>
        <v>270</v>
      </c>
      <c r="C25" s="181">
        <f t="shared" ref="C25:G25" si="13">$E$6*C71</f>
        <v>247.5</v>
      </c>
      <c r="D25" s="181">
        <f t="shared" si="13"/>
        <v>225</v>
      </c>
      <c r="E25" s="181">
        <f t="shared" si="13"/>
        <v>180</v>
      </c>
      <c r="F25" s="181">
        <f t="shared" si="13"/>
        <v>157.5</v>
      </c>
      <c r="G25" s="181">
        <f t="shared" si="13"/>
        <v>135</v>
      </c>
      <c r="J25" s="180" t="s">
        <v>204</v>
      </c>
      <c r="K25" s="179">
        <v>0.6</v>
      </c>
      <c r="L25" s="151">
        <v>0.6</v>
      </c>
      <c r="M25" s="179">
        <v>0.35</v>
      </c>
      <c r="N25" s="179">
        <v>0.1</v>
      </c>
      <c r="O25" s="178">
        <f t="shared" si="1"/>
        <v>2.2499999999999996</v>
      </c>
      <c r="P25" s="178">
        <f t="shared" si="2"/>
        <v>0.22499999999999998</v>
      </c>
      <c r="Q25" s="178">
        <f t="shared" si="3"/>
        <v>0.52499999999999991</v>
      </c>
      <c r="R25" s="178">
        <f t="shared" si="4"/>
        <v>0.65624999999999989</v>
      </c>
      <c r="S25" s="178">
        <f t="shared" si="5"/>
        <v>0.65624999999999989</v>
      </c>
      <c r="T25" s="178">
        <f t="shared" si="6"/>
        <v>2.2499999999999996</v>
      </c>
      <c r="U25" s="178">
        <f t="shared" si="7"/>
        <v>0.44999999999999996</v>
      </c>
      <c r="V25" s="178">
        <f t="shared" si="8"/>
        <v>0.44210526315789472</v>
      </c>
      <c r="W25" s="178">
        <f t="shared" si="9"/>
        <v>0.55263157894736836</v>
      </c>
      <c r="X25" s="178">
        <f t="shared" si="10"/>
        <v>0.44999999999999996</v>
      </c>
      <c r="Y25" s="178">
        <f t="shared" si="11"/>
        <v>0.67500000000000004</v>
      </c>
    </row>
    <row r="26" spans="1:25" x14ac:dyDescent="0.35">
      <c r="A26" s="149"/>
      <c r="J26" s="180" t="s">
        <v>231</v>
      </c>
      <c r="K26" s="179">
        <v>0.7</v>
      </c>
      <c r="L26" s="151">
        <v>0.7</v>
      </c>
      <c r="M26" s="179">
        <v>0.21</v>
      </c>
      <c r="N26" s="179">
        <v>0.11</v>
      </c>
      <c r="O26" s="178">
        <f t="shared" si="1"/>
        <v>2.6249999999999996</v>
      </c>
      <c r="P26" s="178">
        <f t="shared" si="2"/>
        <v>0.28874999999999995</v>
      </c>
      <c r="Q26" s="178">
        <f t="shared" si="3"/>
        <v>0.36749999999999994</v>
      </c>
      <c r="R26" s="178">
        <f t="shared" si="4"/>
        <v>0.45937499999999998</v>
      </c>
      <c r="S26" s="178">
        <f t="shared" si="5"/>
        <v>0.45937499999999998</v>
      </c>
      <c r="T26" s="178">
        <f t="shared" si="6"/>
        <v>2.6249999999999996</v>
      </c>
      <c r="U26" s="178">
        <f t="shared" si="7"/>
        <v>0.5774999999999999</v>
      </c>
      <c r="V26" s="178">
        <f t="shared" si="8"/>
        <v>0.30947368421052629</v>
      </c>
      <c r="W26" s="178">
        <f t="shared" si="9"/>
        <v>0.38684210526315793</v>
      </c>
      <c r="X26" s="178">
        <f t="shared" si="10"/>
        <v>0.5774999999999999</v>
      </c>
      <c r="Y26" s="178">
        <f t="shared" si="11"/>
        <v>0.86624999999999985</v>
      </c>
    </row>
    <row r="27" spans="1:25" ht="16" x14ac:dyDescent="0.45">
      <c r="A27" s="149"/>
      <c r="B27" s="149" t="s">
        <v>229</v>
      </c>
      <c r="J27" s="180" t="s">
        <v>232</v>
      </c>
      <c r="K27" s="179">
        <v>0.4</v>
      </c>
      <c r="L27" s="151">
        <v>0.4</v>
      </c>
      <c r="M27" s="179">
        <v>0.31</v>
      </c>
      <c r="N27" s="179">
        <v>0.17</v>
      </c>
      <c r="O27" s="178">
        <f t="shared" si="1"/>
        <v>1.5000000000000002</v>
      </c>
      <c r="P27" s="178">
        <f t="shared" si="2"/>
        <v>0.25500000000000006</v>
      </c>
      <c r="Q27" s="178">
        <f t="shared" si="3"/>
        <v>0.31</v>
      </c>
      <c r="R27" s="178">
        <f t="shared" si="4"/>
        <v>0.38749999999999996</v>
      </c>
      <c r="S27" s="178">
        <f t="shared" si="5"/>
        <v>0.38749999999999996</v>
      </c>
      <c r="T27" s="178">
        <f t="shared" si="6"/>
        <v>1.5000000000000002</v>
      </c>
      <c r="U27" s="178">
        <f t="shared" si="7"/>
        <v>0.51000000000000012</v>
      </c>
      <c r="V27" s="178">
        <f t="shared" si="8"/>
        <v>0.26105263157894737</v>
      </c>
      <c r="W27" s="178">
        <f t="shared" si="9"/>
        <v>0.32631578947368423</v>
      </c>
      <c r="X27" s="178">
        <f t="shared" si="10"/>
        <v>0.51</v>
      </c>
      <c r="Y27" s="178">
        <f t="shared" si="11"/>
        <v>0.76500000000000012</v>
      </c>
    </row>
    <row r="28" spans="1:25" ht="15.5" x14ac:dyDescent="0.35">
      <c r="A28" s="149"/>
      <c r="B28" s="171" t="s">
        <v>297</v>
      </c>
      <c r="J28" s="180" t="s">
        <v>233</v>
      </c>
      <c r="K28" s="179">
        <v>1</v>
      </c>
      <c r="L28" s="151">
        <v>0.9</v>
      </c>
      <c r="M28" s="179">
        <v>0.14000000000000001</v>
      </c>
      <c r="N28" s="179">
        <v>0.1</v>
      </c>
      <c r="O28" s="178">
        <f t="shared" si="1"/>
        <v>3.375</v>
      </c>
      <c r="P28" s="178">
        <f t="shared" si="2"/>
        <v>0.33750000000000002</v>
      </c>
      <c r="Q28" s="178">
        <f t="shared" si="3"/>
        <v>0.31500000000000006</v>
      </c>
      <c r="R28" s="178">
        <f t="shared" si="4"/>
        <v>0.39375000000000004</v>
      </c>
      <c r="S28" s="178">
        <f t="shared" si="5"/>
        <v>0.39375000000000004</v>
      </c>
      <c r="T28" s="178">
        <f t="shared" si="6"/>
        <v>3.375</v>
      </c>
      <c r="U28" s="178">
        <f t="shared" si="7"/>
        <v>0.67500000000000004</v>
      </c>
      <c r="V28" s="178">
        <f t="shared" si="8"/>
        <v>0.26526315789473692</v>
      </c>
      <c r="W28" s="178">
        <f t="shared" si="9"/>
        <v>0.33157894736842114</v>
      </c>
      <c r="X28" s="178">
        <f t="shared" si="10"/>
        <v>0.67500000000000004</v>
      </c>
      <c r="Y28" s="178">
        <f t="shared" si="11"/>
        <v>1.0125</v>
      </c>
    </row>
    <row r="29" spans="1:25" x14ac:dyDescent="0.35">
      <c r="A29" s="149"/>
      <c r="J29" s="180" t="s">
        <v>235</v>
      </c>
      <c r="K29" s="179">
        <v>0.8</v>
      </c>
      <c r="L29" s="151">
        <v>0.8</v>
      </c>
      <c r="M29" s="179">
        <v>0.19</v>
      </c>
      <c r="N29" s="179">
        <v>0.12</v>
      </c>
      <c r="O29" s="178">
        <f t="shared" si="1"/>
        <v>3.0000000000000004</v>
      </c>
      <c r="P29" s="178">
        <f t="shared" si="2"/>
        <v>0.36000000000000004</v>
      </c>
      <c r="Q29" s="178">
        <f t="shared" si="3"/>
        <v>0.38000000000000006</v>
      </c>
      <c r="R29" s="178">
        <f t="shared" si="4"/>
        <v>0.47499999999999998</v>
      </c>
      <c r="S29" s="178">
        <f t="shared" si="5"/>
        <v>0.47499999999999998</v>
      </c>
      <c r="T29" s="178">
        <f t="shared" si="6"/>
        <v>3.0000000000000004</v>
      </c>
      <c r="U29" s="178">
        <f t="shared" si="7"/>
        <v>0.72000000000000008</v>
      </c>
      <c r="V29" s="178">
        <f t="shared" si="8"/>
        <v>0.32000000000000006</v>
      </c>
      <c r="W29" s="178">
        <f t="shared" si="9"/>
        <v>0.4</v>
      </c>
      <c r="X29" s="178">
        <f t="shared" si="10"/>
        <v>0.72000000000000008</v>
      </c>
      <c r="Y29" s="178">
        <f t="shared" si="11"/>
        <v>1.0799999999999998</v>
      </c>
    </row>
    <row r="30" spans="1:25" x14ac:dyDescent="0.35">
      <c r="A30" s="149"/>
      <c r="B30" s="148" t="s">
        <v>234</v>
      </c>
      <c r="I30" s="149"/>
      <c r="J30" s="180" t="s">
        <v>240</v>
      </c>
      <c r="K30" s="179">
        <v>1.6</v>
      </c>
      <c r="L30" s="151">
        <v>1.6</v>
      </c>
      <c r="M30" s="179">
        <v>0.16</v>
      </c>
      <c r="N30" s="179">
        <v>0.15</v>
      </c>
      <c r="O30" s="178">
        <f t="shared" si="1"/>
        <v>6.0000000000000009</v>
      </c>
      <c r="P30" s="178">
        <f t="shared" si="2"/>
        <v>0.9</v>
      </c>
      <c r="Q30" s="178">
        <f t="shared" si="3"/>
        <v>0.64</v>
      </c>
      <c r="R30" s="178">
        <f t="shared" si="4"/>
        <v>0.79999999999999993</v>
      </c>
      <c r="S30" s="178">
        <f t="shared" si="5"/>
        <v>0.79999999999999993</v>
      </c>
      <c r="T30" s="178">
        <f t="shared" si="6"/>
        <v>6.0000000000000009</v>
      </c>
      <c r="U30" s="178">
        <f t="shared" si="7"/>
        <v>1.8</v>
      </c>
      <c r="V30" s="178">
        <f t="shared" si="8"/>
        <v>0.53894736842105262</v>
      </c>
      <c r="W30" s="178">
        <f t="shared" si="9"/>
        <v>0.67368421052631589</v>
      </c>
      <c r="X30" s="178">
        <f t="shared" si="10"/>
        <v>1.7999999999999998</v>
      </c>
      <c r="Y30" s="178">
        <f t="shared" si="11"/>
        <v>2.7</v>
      </c>
    </row>
    <row r="31" spans="1:25" x14ac:dyDescent="0.35">
      <c r="A31" s="149"/>
      <c r="C31" s="182" t="s">
        <v>236</v>
      </c>
      <c r="D31" s="182" t="s">
        <v>237</v>
      </c>
      <c r="E31" s="182" t="s">
        <v>238</v>
      </c>
      <c r="F31" s="183" t="s">
        <v>239</v>
      </c>
      <c r="I31" s="149"/>
      <c r="J31" s="180" t="s">
        <v>241</v>
      </c>
      <c r="K31" s="179">
        <v>0.8</v>
      </c>
      <c r="L31" s="151">
        <v>0.8</v>
      </c>
      <c r="M31" s="179">
        <v>0.2</v>
      </c>
      <c r="N31" s="179">
        <v>0.1</v>
      </c>
      <c r="O31" s="178">
        <f t="shared" si="1"/>
        <v>3.0000000000000004</v>
      </c>
      <c r="P31" s="178">
        <f t="shared" si="2"/>
        <v>0.30000000000000004</v>
      </c>
      <c r="Q31" s="178">
        <f t="shared" si="3"/>
        <v>0.40000000000000008</v>
      </c>
      <c r="R31" s="178">
        <f t="shared" si="4"/>
        <v>0.5</v>
      </c>
      <c r="S31" s="178">
        <f t="shared" si="5"/>
        <v>0.5</v>
      </c>
      <c r="T31" s="178">
        <f t="shared" si="6"/>
        <v>3.0000000000000004</v>
      </c>
      <c r="U31" s="178">
        <f t="shared" si="7"/>
        <v>0.60000000000000009</v>
      </c>
      <c r="V31" s="178">
        <f t="shared" si="8"/>
        <v>0.336842105263158</v>
      </c>
      <c r="W31" s="178">
        <f t="shared" si="9"/>
        <v>0.4210526315789474</v>
      </c>
      <c r="X31" s="178">
        <f t="shared" si="10"/>
        <v>0.60000000000000009</v>
      </c>
      <c r="Y31" s="178">
        <f t="shared" si="11"/>
        <v>0.90000000000000024</v>
      </c>
    </row>
    <row r="32" spans="1:25" x14ac:dyDescent="0.35">
      <c r="A32" s="149"/>
      <c r="B32" s="174" t="s">
        <v>200</v>
      </c>
      <c r="C32" s="176">
        <f>C$75*0.8*$E$7</f>
        <v>1.6800000000000002</v>
      </c>
      <c r="D32" s="176">
        <f>C$76*0.8*$E$7</f>
        <v>1.52</v>
      </c>
      <c r="E32" s="176">
        <f>C$77*0.8*$E$7</f>
        <v>1.36</v>
      </c>
      <c r="F32" s="184">
        <f>B71*E6*E7</f>
        <v>270</v>
      </c>
      <c r="I32" s="149"/>
      <c r="J32" s="180" t="s">
        <v>242</v>
      </c>
      <c r="K32" s="179">
        <v>0.8</v>
      </c>
      <c r="L32" s="151">
        <v>0.8</v>
      </c>
      <c r="M32" s="179">
        <v>0.3</v>
      </c>
      <c r="N32" s="179">
        <v>0.16</v>
      </c>
      <c r="O32" s="178">
        <f t="shared" si="1"/>
        <v>3.0000000000000004</v>
      </c>
      <c r="P32" s="178">
        <f t="shared" si="2"/>
        <v>0.48000000000000004</v>
      </c>
      <c r="Q32" s="178">
        <f t="shared" si="3"/>
        <v>0.6</v>
      </c>
      <c r="R32" s="178">
        <f t="shared" si="4"/>
        <v>0.74999999999999989</v>
      </c>
      <c r="S32" s="178">
        <f t="shared" si="5"/>
        <v>0.74999999999999989</v>
      </c>
      <c r="T32" s="178">
        <f t="shared" si="6"/>
        <v>3.0000000000000004</v>
      </c>
      <c r="U32" s="178">
        <f t="shared" si="7"/>
        <v>0.96000000000000008</v>
      </c>
      <c r="V32" s="178">
        <f t="shared" si="8"/>
        <v>0.50526315789473686</v>
      </c>
      <c r="W32" s="178">
        <f t="shared" si="9"/>
        <v>0.63157894736842102</v>
      </c>
      <c r="X32" s="178">
        <f t="shared" si="10"/>
        <v>0.96</v>
      </c>
      <c r="Y32" s="178">
        <f t="shared" si="11"/>
        <v>1.4400000000000002</v>
      </c>
    </row>
    <row r="33" spans="1:25" x14ac:dyDescent="0.35">
      <c r="A33" s="149"/>
      <c r="B33" s="174" t="s">
        <v>201</v>
      </c>
      <c r="C33" s="176">
        <f>D$75*0.8*$E$7</f>
        <v>1.6</v>
      </c>
      <c r="D33" s="176">
        <f>D$76*0.8*$E$7</f>
        <v>1.4400000000000002</v>
      </c>
      <c r="E33" s="176">
        <f>D$77*0.8*$E$7</f>
        <v>1.2800000000000002</v>
      </c>
      <c r="F33" s="184">
        <f>C71*E6*E7</f>
        <v>247.5</v>
      </c>
      <c r="I33" s="149"/>
      <c r="J33" s="180" t="s">
        <v>243</v>
      </c>
      <c r="K33" s="179">
        <v>0.45</v>
      </c>
      <c r="L33" s="151">
        <v>0.45</v>
      </c>
      <c r="M33" s="179">
        <v>0.3</v>
      </c>
      <c r="N33" s="179">
        <v>0.16</v>
      </c>
      <c r="O33" s="178">
        <f t="shared" si="1"/>
        <v>1.6875</v>
      </c>
      <c r="P33" s="178">
        <f t="shared" si="2"/>
        <v>0.27</v>
      </c>
      <c r="Q33" s="178">
        <f t="shared" si="3"/>
        <v>0.33750000000000002</v>
      </c>
      <c r="R33" s="178">
        <f t="shared" si="4"/>
        <v>0.42187499999999994</v>
      </c>
      <c r="S33" s="178">
        <f t="shared" si="5"/>
        <v>0.42187499999999994</v>
      </c>
      <c r="T33" s="178">
        <f t="shared" si="6"/>
        <v>1.6875</v>
      </c>
      <c r="U33" s="178">
        <f t="shared" si="7"/>
        <v>0.54</v>
      </c>
      <c r="V33" s="178">
        <f t="shared" si="8"/>
        <v>0.28421052631578952</v>
      </c>
      <c r="W33" s="178">
        <f t="shared" si="9"/>
        <v>0.35526315789473684</v>
      </c>
      <c r="X33" s="178">
        <f t="shared" si="10"/>
        <v>0.54</v>
      </c>
      <c r="Y33" s="178">
        <f t="shared" si="11"/>
        <v>0.81000000000000016</v>
      </c>
    </row>
    <row r="34" spans="1:25" x14ac:dyDescent="0.35">
      <c r="A34" s="149"/>
      <c r="B34" s="174" t="s">
        <v>202</v>
      </c>
      <c r="C34" s="176">
        <f>E$75*0.8*$E$7</f>
        <v>1.52</v>
      </c>
      <c r="D34" s="176">
        <f>E$76*0.8*$E$7</f>
        <v>1.4400000000000002</v>
      </c>
      <c r="E34" s="176">
        <f>E$77*0.8*$E$7</f>
        <v>1.2000000000000002</v>
      </c>
      <c r="F34" s="184">
        <f>D71*E6*E7</f>
        <v>225</v>
      </c>
      <c r="I34" s="149"/>
      <c r="J34" s="180" t="s">
        <v>244</v>
      </c>
      <c r="K34" s="179">
        <v>0.6</v>
      </c>
      <c r="L34" s="151">
        <v>0.6</v>
      </c>
      <c r="M34" s="179">
        <v>0.26</v>
      </c>
      <c r="N34" s="179">
        <v>0.15</v>
      </c>
      <c r="O34" s="178">
        <f t="shared" si="1"/>
        <v>2.2499999999999996</v>
      </c>
      <c r="P34" s="178">
        <f t="shared" si="2"/>
        <v>0.33749999999999991</v>
      </c>
      <c r="Q34" s="178">
        <f t="shared" si="3"/>
        <v>0.38999999999999996</v>
      </c>
      <c r="R34" s="178">
        <f t="shared" si="4"/>
        <v>0.48749999999999999</v>
      </c>
      <c r="S34" s="178">
        <f t="shared" si="5"/>
        <v>0.48749999999999999</v>
      </c>
      <c r="T34" s="178">
        <f t="shared" si="6"/>
        <v>2.2499999999999996</v>
      </c>
      <c r="U34" s="178">
        <f t="shared" si="7"/>
        <v>0.67499999999999982</v>
      </c>
      <c r="V34" s="178">
        <f t="shared" si="8"/>
        <v>0.32842105263157895</v>
      </c>
      <c r="W34" s="178">
        <f t="shared" si="9"/>
        <v>0.41052631578947374</v>
      </c>
      <c r="X34" s="178">
        <f t="shared" si="10"/>
        <v>0.67500000000000004</v>
      </c>
      <c r="Y34" s="178">
        <f t="shared" si="11"/>
        <v>1.0125</v>
      </c>
    </row>
    <row r="35" spans="1:25" x14ac:dyDescent="0.35">
      <c r="A35" s="149"/>
      <c r="B35" s="174" t="s">
        <v>203</v>
      </c>
      <c r="C35" s="176">
        <f>F$75*0.8*$E$7</f>
        <v>1.36</v>
      </c>
      <c r="D35" s="176">
        <f>F$76*0.8*$E$7</f>
        <v>1.2800000000000002</v>
      </c>
      <c r="E35" s="176">
        <f>F$77*0.8*$E$7</f>
        <v>1.1199999999999999</v>
      </c>
      <c r="F35" s="184">
        <f>E71*E6*E7</f>
        <v>180</v>
      </c>
      <c r="I35" s="149"/>
      <c r="K35" s="149"/>
      <c r="L35" s="149"/>
      <c r="M35" s="149"/>
      <c r="N35" s="149"/>
    </row>
    <row r="36" spans="1:25" x14ac:dyDescent="0.35">
      <c r="B36" s="174" t="s">
        <v>204</v>
      </c>
      <c r="C36" s="176">
        <f>G$75*0.8*$E$7</f>
        <v>1.2800000000000002</v>
      </c>
      <c r="D36" s="176">
        <f>G$76*0.8*$E$7</f>
        <v>1.2000000000000002</v>
      </c>
      <c r="E36" s="176">
        <f>G$77*0.8*$E$7</f>
        <v>1.04</v>
      </c>
      <c r="F36" s="184">
        <f>F71*E6*E7</f>
        <v>157.5</v>
      </c>
      <c r="I36" s="149"/>
      <c r="J36" s="142" t="s">
        <v>341</v>
      </c>
      <c r="K36" s="142"/>
      <c r="L36" s="142"/>
      <c r="M36" s="142"/>
      <c r="N36" s="142"/>
    </row>
    <row r="37" spans="1:25" x14ac:dyDescent="0.35">
      <c r="B37" s="174" t="s">
        <v>245</v>
      </c>
      <c r="C37" s="176">
        <f>H$75*0.8*$E$7</f>
        <v>1.2000000000000002</v>
      </c>
      <c r="D37" s="176">
        <f>H$76*0.8*$E$7</f>
        <v>1.1199999999999999</v>
      </c>
      <c r="E37" s="176">
        <f>H$77*0.8*$E$7</f>
        <v>0.96</v>
      </c>
      <c r="F37" s="184">
        <f>G71*E6*E7</f>
        <v>135</v>
      </c>
      <c r="I37" s="149"/>
      <c r="J37" s="148" t="s">
        <v>331</v>
      </c>
      <c r="K37" s="149"/>
      <c r="L37" s="149"/>
      <c r="M37" s="149"/>
      <c r="N37" s="149"/>
    </row>
    <row r="38" spans="1:25" x14ac:dyDescent="0.35">
      <c r="I38" s="149"/>
      <c r="J38" s="149"/>
      <c r="K38" s="275" t="s">
        <v>378</v>
      </c>
      <c r="L38" s="276"/>
      <c r="M38" s="277" t="s">
        <v>379</v>
      </c>
      <c r="N38" s="278"/>
      <c r="O38" s="264" t="s">
        <v>197</v>
      </c>
      <c r="P38" s="265"/>
      <c r="Q38" s="265"/>
      <c r="R38" s="266"/>
      <c r="S38" s="267" t="s">
        <v>198</v>
      </c>
      <c r="T38" s="265"/>
      <c r="U38" s="266"/>
      <c r="V38" s="273" t="s">
        <v>340</v>
      </c>
      <c r="W38" s="274"/>
      <c r="X38" s="272" t="s">
        <v>292</v>
      </c>
      <c r="Y38" s="266"/>
    </row>
    <row r="39" spans="1:25" ht="88.5" x14ac:dyDescent="0.45">
      <c r="I39" s="149"/>
      <c r="J39" s="174" t="s">
        <v>206</v>
      </c>
      <c r="K39" s="174" t="s">
        <v>336</v>
      </c>
      <c r="L39" s="174" t="s">
        <v>330</v>
      </c>
      <c r="M39" s="174" t="s">
        <v>375</v>
      </c>
      <c r="N39" s="174" t="s">
        <v>376</v>
      </c>
      <c r="O39" s="174" t="s">
        <v>210</v>
      </c>
      <c r="P39" s="174" t="s">
        <v>211</v>
      </c>
      <c r="Q39" s="174" t="s">
        <v>286</v>
      </c>
      <c r="R39" s="174" t="s">
        <v>212</v>
      </c>
      <c r="S39" s="174" t="s">
        <v>285</v>
      </c>
      <c r="T39" s="174" t="s">
        <v>283</v>
      </c>
      <c r="U39" s="174" t="s">
        <v>284</v>
      </c>
      <c r="V39" s="174" t="s">
        <v>286</v>
      </c>
      <c r="W39" s="174" t="s">
        <v>285</v>
      </c>
      <c r="X39" s="174" t="s">
        <v>343</v>
      </c>
      <c r="Y39" s="174" t="s">
        <v>294</v>
      </c>
    </row>
    <row r="40" spans="1:25" ht="15.5" x14ac:dyDescent="0.35">
      <c r="B40" s="171" t="s">
        <v>337</v>
      </c>
      <c r="I40" s="149"/>
      <c r="J40" s="177" t="s">
        <v>214</v>
      </c>
      <c r="K40" s="173">
        <v>0.5</v>
      </c>
      <c r="L40" s="151">
        <v>0.5</v>
      </c>
      <c r="M40" s="249">
        <f>(0.121*(L40*100)^1.1378)/100</f>
        <v>0.10372261113349318</v>
      </c>
      <c r="N40" s="249">
        <f>(0.0501*(L40*100)^1.2094)/100</f>
        <v>5.6829266304345601E-2</v>
      </c>
      <c r="O40" s="178">
        <f>3*L40/$E$5</f>
        <v>1.875</v>
      </c>
      <c r="P40" s="178">
        <f>3*N40/$E$5</f>
        <v>0.213109748641296</v>
      </c>
      <c r="Q40" s="178">
        <f>M40*2/$E$5</f>
        <v>0.25930652783373292</v>
      </c>
      <c r="R40" s="178">
        <f>2.5*M40/$E$5</f>
        <v>0.32413315979216623</v>
      </c>
      <c r="S40" s="178">
        <f>2.5*M40/$E$5</f>
        <v>0.32413315979216623</v>
      </c>
      <c r="T40" s="178">
        <f>L40*3/0.8</f>
        <v>1.875</v>
      </c>
      <c r="U40" s="178">
        <f>6*N40/$E$5</f>
        <v>0.42621949728259201</v>
      </c>
      <c r="V40" s="178">
        <f>2*M40/0.95</f>
        <v>0.21836339185998566</v>
      </c>
      <c r="W40" s="178">
        <f>2.5*M40/0.95</f>
        <v>0.27295423982498207</v>
      </c>
      <c r="X40" s="178">
        <f>N40*6/0.9</f>
        <v>0.37886177536230403</v>
      </c>
      <c r="Y40" s="178">
        <f>N40*9/0.9</f>
        <v>0.56829266304345605</v>
      </c>
    </row>
    <row r="41" spans="1:25" x14ac:dyDescent="0.35">
      <c r="I41" s="149"/>
      <c r="J41" s="177" t="s">
        <v>216</v>
      </c>
      <c r="K41" s="173">
        <v>0.5</v>
      </c>
      <c r="L41" s="151">
        <v>0.5</v>
      </c>
      <c r="M41" s="217">
        <f>0.19</f>
        <v>0.19</v>
      </c>
      <c r="N41" s="217">
        <f>0.1</f>
        <v>0.1</v>
      </c>
      <c r="O41" s="222">
        <f>3*L41/$E$5</f>
        <v>1.875</v>
      </c>
      <c r="P41" s="222">
        <f>L41*3*N41/$E$5</f>
        <v>0.18750000000000003</v>
      </c>
      <c r="Q41" s="222">
        <f>L41*M41*2/$E$5</f>
        <v>0.23749999999999999</v>
      </c>
      <c r="R41" s="222">
        <f>L41*2.5*M41/$E$5</f>
        <v>0.29687499999999994</v>
      </c>
      <c r="S41" s="222">
        <f>L41*2.5*M41/$E$5</f>
        <v>0.29687499999999994</v>
      </c>
      <c r="T41" s="222">
        <f>L41*3/0.8</f>
        <v>1.875</v>
      </c>
      <c r="U41" s="222">
        <f>L41*6*N41/$E$5</f>
        <v>0.37500000000000006</v>
      </c>
      <c r="V41" s="222">
        <f>L41*2*M41/0.95</f>
        <v>0.2</v>
      </c>
      <c r="W41" s="222">
        <f>L41*2.5*M41/0.95</f>
        <v>0.25</v>
      </c>
      <c r="X41" s="222">
        <f>L41*N41*6/0.9</f>
        <v>0.33333333333333337</v>
      </c>
      <c r="Y41" s="222">
        <f>L41*N41*9/0.9</f>
        <v>0.5</v>
      </c>
    </row>
    <row r="42" spans="1:25" x14ac:dyDescent="0.35">
      <c r="B42" s="148" t="s">
        <v>338</v>
      </c>
      <c r="I42" s="149"/>
      <c r="J42" s="177" t="s">
        <v>218</v>
      </c>
      <c r="K42" s="179">
        <v>0.6</v>
      </c>
      <c r="L42" s="151">
        <v>0.6</v>
      </c>
      <c r="M42" s="249">
        <f>(0.1109*(L42*100)^1.1914)/100</f>
        <v>0.14568704880704503</v>
      </c>
      <c r="N42" s="250">
        <f>(0.0547*(L42*100)^1.2429)/100</f>
        <v>8.8726125154867302E-2</v>
      </c>
      <c r="O42" s="178">
        <f>3*L42/$E$5</f>
        <v>2.2499999999999996</v>
      </c>
      <c r="P42" s="178">
        <f>3*N42/$E$5</f>
        <v>0.33272296933075235</v>
      </c>
      <c r="Q42" s="178">
        <f>M42*2/$E$5</f>
        <v>0.36421762201761254</v>
      </c>
      <c r="R42" s="178">
        <f>2.5*M42/$E$5</f>
        <v>0.45527202752201568</v>
      </c>
      <c r="S42" s="178">
        <f>2.5*M42/$E$5</f>
        <v>0.45527202752201568</v>
      </c>
      <c r="T42" s="178">
        <f>L42*3/0.8</f>
        <v>2.2499999999999996</v>
      </c>
      <c r="U42" s="178">
        <f>6*N42/$E$5</f>
        <v>0.6654459386615047</v>
      </c>
      <c r="V42" s="178">
        <f>2*M42/0.95</f>
        <v>0.30670957643588426</v>
      </c>
      <c r="W42" s="178">
        <f>2.5*M42/0.95</f>
        <v>0.38338697054485532</v>
      </c>
      <c r="X42" s="178">
        <f>N42*6/0.9</f>
        <v>0.59150750103244865</v>
      </c>
      <c r="Y42" s="178">
        <f>N42*9/0.9</f>
        <v>0.88726125154867308</v>
      </c>
    </row>
    <row r="43" spans="1:25" x14ac:dyDescent="0.35">
      <c r="C43" s="182" t="s">
        <v>236</v>
      </c>
      <c r="D43" s="182" t="s">
        <v>237</v>
      </c>
      <c r="E43" s="182" t="s">
        <v>238</v>
      </c>
      <c r="I43" s="149"/>
      <c r="J43" s="177" t="s">
        <v>221</v>
      </c>
      <c r="K43" s="179">
        <v>1</v>
      </c>
      <c r="L43" s="151">
        <v>1</v>
      </c>
      <c r="M43" s="249">
        <f>(0.1241*(L43*100)^1.077)/100</f>
        <v>0.17691790236603155</v>
      </c>
      <c r="N43" s="249">
        <f>(0.0672*(L43*100)^1.0918)/100</f>
        <v>0.10255793625003118</v>
      </c>
      <c r="O43" s="178">
        <f t="shared" ref="O43:O55" si="14">3*L43/$E$5</f>
        <v>3.75</v>
      </c>
      <c r="P43" s="178">
        <f t="shared" ref="P43:P55" si="15">3*N43/$E$5</f>
        <v>0.38459226093761689</v>
      </c>
      <c r="Q43" s="178">
        <f t="shared" ref="Q43:Q55" si="16">M43*2/$E$5</f>
        <v>0.44229475591507889</v>
      </c>
      <c r="R43" s="178">
        <f t="shared" ref="R43:R55" si="17">2.5*M43/$E$5</f>
        <v>0.55286844489384857</v>
      </c>
      <c r="S43" s="178">
        <f t="shared" ref="S43:S55" si="18">2.5*M43/$E$5</f>
        <v>0.55286844489384857</v>
      </c>
      <c r="T43" s="178">
        <f t="shared" ref="T43:T55" si="19">L43*3/0.8</f>
        <v>3.75</v>
      </c>
      <c r="U43" s="178">
        <f t="shared" ref="U43:U55" si="20">6*N43/$E$5</f>
        <v>0.76918452187523378</v>
      </c>
      <c r="V43" s="178">
        <f t="shared" ref="V43:V55" si="21">2*M43/0.95</f>
        <v>0.37245874182322436</v>
      </c>
      <c r="W43" s="178">
        <f t="shared" ref="W43:W55" si="22">2.5*M43/0.95</f>
        <v>0.46557342727903045</v>
      </c>
      <c r="X43" s="178">
        <f t="shared" ref="X43:X55" si="23">N43*6/0.9</f>
        <v>0.68371957500020786</v>
      </c>
      <c r="Y43" s="178">
        <f t="shared" ref="Y43:Y55" si="24">N43*9/0.9</f>
        <v>1.0255793625003118</v>
      </c>
    </row>
    <row r="44" spans="1:25" x14ac:dyDescent="0.35">
      <c r="B44" s="174" t="s">
        <v>200</v>
      </c>
      <c r="C44" s="176">
        <f>C$81*0.8*$E$7</f>
        <v>1.6</v>
      </c>
      <c r="D44" s="176">
        <f>C$82*0.8*$E$7</f>
        <v>1.36</v>
      </c>
      <c r="E44" s="176">
        <f>C$83*0.8*$E$7</f>
        <v>1.2000000000000002</v>
      </c>
      <c r="I44" s="149"/>
      <c r="J44" s="180" t="s">
        <v>222</v>
      </c>
      <c r="K44" s="179">
        <v>0.8</v>
      </c>
      <c r="L44" s="151">
        <v>0.8</v>
      </c>
      <c r="M44" s="249">
        <f>(0.1397*(L44*100)^1.0955)/100</f>
        <v>0.16983667815995965</v>
      </c>
      <c r="N44" s="249">
        <f>(0.0644*(L44*100)^1.1459)/100</f>
        <v>9.7642003815029299E-2</v>
      </c>
      <c r="O44" s="178">
        <f t="shared" si="14"/>
        <v>3.0000000000000004</v>
      </c>
      <c r="P44" s="178">
        <f t="shared" si="15"/>
        <v>0.36615751430635984</v>
      </c>
      <c r="Q44" s="178">
        <f t="shared" si="16"/>
        <v>0.42459169539989911</v>
      </c>
      <c r="R44" s="178">
        <f t="shared" si="17"/>
        <v>0.5307396192498739</v>
      </c>
      <c r="S44" s="178">
        <f t="shared" si="18"/>
        <v>0.5307396192498739</v>
      </c>
      <c r="T44" s="178">
        <f t="shared" si="19"/>
        <v>3.0000000000000004</v>
      </c>
      <c r="U44" s="178">
        <f t="shared" si="20"/>
        <v>0.73231502861271969</v>
      </c>
      <c r="V44" s="178">
        <f t="shared" si="21"/>
        <v>0.35755090138938878</v>
      </c>
      <c r="W44" s="178">
        <f t="shared" si="22"/>
        <v>0.4469386267367359</v>
      </c>
      <c r="X44" s="178">
        <f t="shared" si="23"/>
        <v>0.65094669210019529</v>
      </c>
      <c r="Y44" s="178">
        <f t="shared" si="24"/>
        <v>0.97642003815029299</v>
      </c>
    </row>
    <row r="45" spans="1:25" x14ac:dyDescent="0.35">
      <c r="B45" s="174" t="s">
        <v>201</v>
      </c>
      <c r="C45" s="176">
        <f>D$81*0.8*$E$7</f>
        <v>1.52</v>
      </c>
      <c r="D45" s="176">
        <f>D$82*0.8*$E$7</f>
        <v>1.2800000000000002</v>
      </c>
      <c r="E45" s="176">
        <f>D$83*0.8*$E$7</f>
        <v>1.1199999999999999</v>
      </c>
      <c r="I45" s="149"/>
      <c r="J45" s="180" t="s">
        <v>224</v>
      </c>
      <c r="K45" s="179">
        <v>0.6</v>
      </c>
      <c r="L45" s="151">
        <v>0.6</v>
      </c>
      <c r="M45" s="249">
        <f>(0.0556*(L45*100)^1.2696)/100</f>
        <v>0.10060408583124848</v>
      </c>
      <c r="N45" s="249">
        <f>(0.0368*(L45*100)^1.3679)/100</f>
        <v>9.9582015981295874E-2</v>
      </c>
      <c r="O45" s="178">
        <f t="shared" si="14"/>
        <v>2.2499999999999996</v>
      </c>
      <c r="P45" s="178">
        <f t="shared" si="15"/>
        <v>0.37343255992985946</v>
      </c>
      <c r="Q45" s="178">
        <f t="shared" si="16"/>
        <v>0.25151021457812117</v>
      </c>
      <c r="R45" s="178">
        <f t="shared" si="17"/>
        <v>0.31438776822265152</v>
      </c>
      <c r="S45" s="178">
        <f t="shared" si="18"/>
        <v>0.31438776822265152</v>
      </c>
      <c r="T45" s="178">
        <f t="shared" si="19"/>
        <v>2.2499999999999996</v>
      </c>
      <c r="U45" s="178">
        <f t="shared" si="20"/>
        <v>0.74686511985971893</v>
      </c>
      <c r="V45" s="178">
        <f t="shared" si="21"/>
        <v>0.21179807543420734</v>
      </c>
      <c r="W45" s="178">
        <f t="shared" si="22"/>
        <v>0.26474759429275918</v>
      </c>
      <c r="X45" s="178">
        <f t="shared" si="23"/>
        <v>0.66388010654197238</v>
      </c>
      <c r="Y45" s="178">
        <f t="shared" si="24"/>
        <v>0.99582015981295879</v>
      </c>
    </row>
    <row r="46" spans="1:25" x14ac:dyDescent="0.35">
      <c r="B46" s="174" t="s">
        <v>202</v>
      </c>
      <c r="C46" s="176">
        <f>E$81*0.8*$E$7</f>
        <v>1.4400000000000002</v>
      </c>
      <c r="D46" s="176">
        <f>E$82*0.8*$E$7</f>
        <v>1.2000000000000002</v>
      </c>
      <c r="E46" s="176">
        <f>E$83*0.8*$E$7</f>
        <v>1.04</v>
      </c>
      <c r="I46" s="149"/>
      <c r="J46" s="180" t="s">
        <v>225</v>
      </c>
      <c r="K46" s="179">
        <v>0.4</v>
      </c>
      <c r="L46" s="151">
        <v>0.4</v>
      </c>
      <c r="M46" s="249">
        <f>(0.133*(L46*100)^1.2185)/100</f>
        <v>0.11911370690127426</v>
      </c>
      <c r="N46" s="249">
        <f>(0.0562*(L46*100)^1.247)/100</f>
        <v>5.5912012525229003E-2</v>
      </c>
      <c r="O46" s="178">
        <f t="shared" si="14"/>
        <v>1.5000000000000002</v>
      </c>
      <c r="P46" s="178">
        <f t="shared" si="15"/>
        <v>0.20967004696960875</v>
      </c>
      <c r="Q46" s="178">
        <f t="shared" si="16"/>
        <v>0.29778426725318563</v>
      </c>
      <c r="R46" s="178">
        <f t="shared" si="17"/>
        <v>0.37223033406648204</v>
      </c>
      <c r="S46" s="178">
        <f t="shared" si="18"/>
        <v>0.37223033406648204</v>
      </c>
      <c r="T46" s="178">
        <f t="shared" si="19"/>
        <v>1.5000000000000002</v>
      </c>
      <c r="U46" s="178">
        <f t="shared" si="20"/>
        <v>0.41934009393921751</v>
      </c>
      <c r="V46" s="178">
        <f t="shared" si="21"/>
        <v>0.25076569873952476</v>
      </c>
      <c r="W46" s="178">
        <f t="shared" si="22"/>
        <v>0.31345712342440596</v>
      </c>
      <c r="X46" s="178">
        <f t="shared" si="23"/>
        <v>0.37274675016819331</v>
      </c>
      <c r="Y46" s="178">
        <f t="shared" si="24"/>
        <v>0.55912012525229005</v>
      </c>
    </row>
    <row r="47" spans="1:25" x14ac:dyDescent="0.35">
      <c r="B47" s="174" t="s">
        <v>203</v>
      </c>
      <c r="C47" s="176">
        <f>F$81*0.8*$E$7</f>
        <v>1.2800000000000002</v>
      </c>
      <c r="D47" s="176">
        <f>F$82*0.8*$E$7</f>
        <v>1.1199999999999999</v>
      </c>
      <c r="E47" s="176">
        <f>F$83*0.8*$E$7</f>
        <v>0.96</v>
      </c>
      <c r="I47" s="149"/>
      <c r="J47" s="180" t="s">
        <v>226</v>
      </c>
      <c r="K47" s="179">
        <v>0.7</v>
      </c>
      <c r="L47" s="151">
        <v>0.7</v>
      </c>
      <c r="M47" s="251">
        <f>(0.1103*(L47*100)^1.1313)/100</f>
        <v>0.13487607684946931</v>
      </c>
      <c r="N47" s="251">
        <f>(0.0727*(L47*100)^1.1237)/100</f>
        <v>8.6073820162366227E-2</v>
      </c>
      <c r="O47" s="178">
        <f t="shared" si="14"/>
        <v>2.6249999999999996</v>
      </c>
      <c r="P47" s="178">
        <f t="shared" si="15"/>
        <v>0.32277682560887339</v>
      </c>
      <c r="Q47" s="178">
        <f t="shared" si="16"/>
        <v>0.33719019212367324</v>
      </c>
      <c r="R47" s="178">
        <f t="shared" si="17"/>
        <v>0.42148774015459162</v>
      </c>
      <c r="S47" s="178">
        <f t="shared" si="18"/>
        <v>0.42148774015459162</v>
      </c>
      <c r="T47" s="178">
        <f t="shared" si="19"/>
        <v>2.6249999999999996</v>
      </c>
      <c r="U47" s="178">
        <f t="shared" si="20"/>
        <v>0.64555365121774677</v>
      </c>
      <c r="V47" s="178">
        <f t="shared" si="21"/>
        <v>0.28394963547256696</v>
      </c>
      <c r="W47" s="178">
        <f t="shared" si="22"/>
        <v>0.35493704434070877</v>
      </c>
      <c r="X47" s="178">
        <f t="shared" si="23"/>
        <v>0.57382546774910825</v>
      </c>
      <c r="Y47" s="178">
        <f t="shared" si="24"/>
        <v>0.86073820162366221</v>
      </c>
    </row>
    <row r="48" spans="1:25" x14ac:dyDescent="0.35">
      <c r="B48" s="174" t="s">
        <v>204</v>
      </c>
      <c r="C48" s="176">
        <f>G$81*0.8*$E$7</f>
        <v>1.2000000000000002</v>
      </c>
      <c r="D48" s="176">
        <f>G$82*0.8*$E$7</f>
        <v>1.04</v>
      </c>
      <c r="E48" s="176">
        <f>G$83*0.8*$E$7</f>
        <v>0.88000000000000012</v>
      </c>
      <c r="I48" s="149"/>
      <c r="J48" s="180" t="s">
        <v>228</v>
      </c>
      <c r="K48" s="179">
        <v>0.6</v>
      </c>
      <c r="L48" s="151">
        <v>0.6</v>
      </c>
      <c r="M48" s="251">
        <f>(0.099*(L48*100)^1.1964)/100</f>
        <v>0.13274413765938692</v>
      </c>
      <c r="N48" s="251">
        <f>(0.0506*(L48*100)^1.215)/100</f>
        <v>7.3215711316317031E-2</v>
      </c>
      <c r="O48" s="178">
        <f t="shared" si="14"/>
        <v>2.2499999999999996</v>
      </c>
      <c r="P48" s="178">
        <f t="shared" si="15"/>
        <v>0.27455891743618882</v>
      </c>
      <c r="Q48" s="178">
        <f t="shared" si="16"/>
        <v>0.33186034414846727</v>
      </c>
      <c r="R48" s="178">
        <f t="shared" si="17"/>
        <v>0.41482543018558415</v>
      </c>
      <c r="S48" s="178">
        <f t="shared" si="18"/>
        <v>0.41482543018558415</v>
      </c>
      <c r="T48" s="178">
        <f t="shared" si="19"/>
        <v>2.2499999999999996</v>
      </c>
      <c r="U48" s="178">
        <f t="shared" si="20"/>
        <v>0.54911783487237764</v>
      </c>
      <c r="V48" s="178">
        <f t="shared" si="21"/>
        <v>0.27946134244081455</v>
      </c>
      <c r="W48" s="178">
        <f t="shared" si="22"/>
        <v>0.34932667805101825</v>
      </c>
      <c r="X48" s="178">
        <f t="shared" si="23"/>
        <v>0.48810474210878019</v>
      </c>
      <c r="Y48" s="178">
        <f t="shared" si="24"/>
        <v>0.73215711316317023</v>
      </c>
    </row>
    <row r="49" spans="2:25" x14ac:dyDescent="0.35">
      <c r="B49" s="174" t="s">
        <v>245</v>
      </c>
      <c r="C49" s="176">
        <f>H$81*0.8*$E$7</f>
        <v>1.1199999999999999</v>
      </c>
      <c r="D49" s="176">
        <f>H$82*0.8*$E$7</f>
        <v>0.96</v>
      </c>
      <c r="E49" s="176">
        <f>H$83*0.8*$E$7</f>
        <v>0.8</v>
      </c>
      <c r="I49" s="149"/>
      <c r="J49" s="180" t="s">
        <v>230</v>
      </c>
      <c r="K49" s="179">
        <v>0.6</v>
      </c>
      <c r="L49" s="151">
        <v>0.6</v>
      </c>
      <c r="M49" s="251">
        <f>(0.1298*(L48*100)^1.1825)/100</f>
        <v>0.164413905620201</v>
      </c>
      <c r="N49" s="251">
        <f>(0.0506*(L49*100)^1.215)/100</f>
        <v>7.3215711316317031E-2</v>
      </c>
      <c r="O49" s="178">
        <f t="shared" si="14"/>
        <v>2.2499999999999996</v>
      </c>
      <c r="P49" s="178">
        <f t="shared" si="15"/>
        <v>0.27455891743618882</v>
      </c>
      <c r="Q49" s="178">
        <f t="shared" si="16"/>
        <v>0.41103476405050249</v>
      </c>
      <c r="R49" s="178">
        <f t="shared" si="17"/>
        <v>0.51379345506312812</v>
      </c>
      <c r="S49" s="178">
        <f t="shared" si="18"/>
        <v>0.51379345506312812</v>
      </c>
      <c r="T49" s="178">
        <f t="shared" si="19"/>
        <v>2.2499999999999996</v>
      </c>
      <c r="U49" s="178">
        <f t="shared" si="20"/>
        <v>0.54911783487237764</v>
      </c>
      <c r="V49" s="178">
        <f t="shared" si="21"/>
        <v>0.3461345381477916</v>
      </c>
      <c r="W49" s="178">
        <f t="shared" si="22"/>
        <v>0.4326681726847395</v>
      </c>
      <c r="X49" s="178">
        <f t="shared" si="23"/>
        <v>0.48810474210878019</v>
      </c>
      <c r="Y49" s="178">
        <f t="shared" si="24"/>
        <v>0.73215711316317023</v>
      </c>
    </row>
    <row r="50" spans="2:25" x14ac:dyDescent="0.35">
      <c r="I50" s="149"/>
      <c r="J50" s="180" t="s">
        <v>204</v>
      </c>
      <c r="K50" s="179">
        <v>0.6</v>
      </c>
      <c r="L50" s="151">
        <v>0.6</v>
      </c>
      <c r="M50" s="251">
        <f>(0.2101*(L50*100)^1.1175)/100</f>
        <v>0.20394359696432357</v>
      </c>
      <c r="N50" s="251">
        <f>(0.0731*(L50*100)^1.0761)/100</f>
        <v>5.9894361222725116E-2</v>
      </c>
      <c r="O50" s="178">
        <f t="shared" si="14"/>
        <v>2.2499999999999996</v>
      </c>
      <c r="P50" s="178">
        <f t="shared" si="15"/>
        <v>0.22460385458521917</v>
      </c>
      <c r="Q50" s="178">
        <f t="shared" si="16"/>
        <v>0.5098589924108089</v>
      </c>
      <c r="R50" s="178">
        <f t="shared" si="17"/>
        <v>0.63732374051351104</v>
      </c>
      <c r="S50" s="178">
        <f t="shared" si="18"/>
        <v>0.63732374051351104</v>
      </c>
      <c r="T50" s="178">
        <f t="shared" si="19"/>
        <v>2.2499999999999996</v>
      </c>
      <c r="U50" s="178">
        <f t="shared" si="20"/>
        <v>0.44920770917043834</v>
      </c>
      <c r="V50" s="178">
        <f t="shared" si="21"/>
        <v>0.4293549409775233</v>
      </c>
      <c r="W50" s="178">
        <f t="shared" si="22"/>
        <v>0.53669367622190411</v>
      </c>
      <c r="X50" s="178">
        <f t="shared" si="23"/>
        <v>0.3992957414848341</v>
      </c>
      <c r="Y50" s="178">
        <f t="shared" si="24"/>
        <v>0.59894361222725112</v>
      </c>
    </row>
    <row r="51" spans="2:25" x14ac:dyDescent="0.35">
      <c r="I51" s="149"/>
      <c r="J51" s="180" t="s">
        <v>231</v>
      </c>
      <c r="K51" s="179">
        <v>0.7</v>
      </c>
      <c r="L51" s="151">
        <v>0.7</v>
      </c>
      <c r="M51" s="251">
        <f>(0.1183*(L51*100)^1.136)/100</f>
        <v>0.14757613025728233</v>
      </c>
      <c r="N51" s="251">
        <f>(0.0589*(L51*100)^1.1364)/100</f>
        <v>7.3601168188434749E-2</v>
      </c>
      <c r="O51" s="178">
        <f t="shared" si="14"/>
        <v>2.6249999999999996</v>
      </c>
      <c r="P51" s="178">
        <f t="shared" si="15"/>
        <v>0.27600438070663025</v>
      </c>
      <c r="Q51" s="178">
        <f t="shared" si="16"/>
        <v>0.36894032564320584</v>
      </c>
      <c r="R51" s="178">
        <f t="shared" si="17"/>
        <v>0.46117540705400728</v>
      </c>
      <c r="S51" s="178">
        <f t="shared" si="18"/>
        <v>0.46117540705400728</v>
      </c>
      <c r="T51" s="178">
        <f t="shared" si="19"/>
        <v>2.6249999999999996</v>
      </c>
      <c r="U51" s="178">
        <f t="shared" si="20"/>
        <v>0.5520087614132605</v>
      </c>
      <c r="V51" s="178">
        <f t="shared" si="21"/>
        <v>0.31068659001533122</v>
      </c>
      <c r="W51" s="178">
        <f t="shared" si="22"/>
        <v>0.38835823751916404</v>
      </c>
      <c r="X51" s="178">
        <f t="shared" si="23"/>
        <v>0.49067445458956493</v>
      </c>
      <c r="Y51" s="178">
        <f t="shared" si="24"/>
        <v>0.73601168188434751</v>
      </c>
    </row>
    <row r="52" spans="2:25" x14ac:dyDescent="0.35">
      <c r="I52" s="149"/>
      <c r="J52" s="180" t="s">
        <v>232</v>
      </c>
      <c r="K52" s="179">
        <v>0.4</v>
      </c>
      <c r="L52" s="151">
        <v>0.4</v>
      </c>
      <c r="M52" s="251">
        <f>(0.1274*(L52*100)^1.2197)/100</f>
        <v>0.11460458673355761</v>
      </c>
      <c r="N52" s="251">
        <f>(0.0557*(L52*100)^1.2822)/100</f>
        <v>6.309813400049831E-2</v>
      </c>
      <c r="O52" s="178">
        <f t="shared" si="14"/>
        <v>1.5000000000000002</v>
      </c>
      <c r="P52" s="178">
        <f t="shared" si="15"/>
        <v>0.23661800250186868</v>
      </c>
      <c r="Q52" s="178">
        <f t="shared" si="16"/>
        <v>0.286511466833894</v>
      </c>
      <c r="R52" s="178">
        <f t="shared" si="17"/>
        <v>0.35813933354236754</v>
      </c>
      <c r="S52" s="178">
        <f t="shared" si="18"/>
        <v>0.35813933354236754</v>
      </c>
      <c r="T52" s="178">
        <f t="shared" si="19"/>
        <v>1.5000000000000002</v>
      </c>
      <c r="U52" s="178">
        <f t="shared" si="20"/>
        <v>0.47323600500373736</v>
      </c>
      <c r="V52" s="178">
        <f t="shared" si="21"/>
        <v>0.24127281417591076</v>
      </c>
      <c r="W52" s="178">
        <f t="shared" si="22"/>
        <v>0.3015910177198885</v>
      </c>
      <c r="X52" s="178">
        <f t="shared" si="23"/>
        <v>0.42065422666998875</v>
      </c>
      <c r="Y52" s="178">
        <f t="shared" si="24"/>
        <v>0.63098134000498318</v>
      </c>
    </row>
    <row r="53" spans="2:25" x14ac:dyDescent="0.35">
      <c r="I53" s="149"/>
      <c r="J53" s="180" t="s">
        <v>233</v>
      </c>
      <c r="K53" s="179">
        <v>1</v>
      </c>
      <c r="L53" s="151">
        <v>0.9</v>
      </c>
      <c r="M53" s="251">
        <f>(0.0523*(L53*100)^1.2679)/100</f>
        <v>0.15713964460422647</v>
      </c>
      <c r="N53" s="251">
        <f>(0.0472*(L53*100)^1.1969)/100</f>
        <v>0.10303264719046687</v>
      </c>
      <c r="O53" s="178">
        <f t="shared" si="14"/>
        <v>3.375</v>
      </c>
      <c r="P53" s="178">
        <f t="shared" si="15"/>
        <v>0.38637242696425073</v>
      </c>
      <c r="Q53" s="178">
        <f t="shared" si="16"/>
        <v>0.39284911151056617</v>
      </c>
      <c r="R53" s="178">
        <f t="shared" si="17"/>
        <v>0.4910613893882077</v>
      </c>
      <c r="S53" s="178">
        <f t="shared" si="18"/>
        <v>0.4910613893882077</v>
      </c>
      <c r="T53" s="178">
        <f t="shared" si="19"/>
        <v>3.375</v>
      </c>
      <c r="U53" s="178">
        <f t="shared" si="20"/>
        <v>0.77274485392850145</v>
      </c>
      <c r="V53" s="178">
        <f t="shared" si="21"/>
        <v>0.33082030442995047</v>
      </c>
      <c r="W53" s="178">
        <f t="shared" si="22"/>
        <v>0.41352538053743809</v>
      </c>
      <c r="X53" s="178">
        <f t="shared" si="23"/>
        <v>0.68688431460311239</v>
      </c>
      <c r="Y53" s="178">
        <f t="shared" si="24"/>
        <v>1.0303264719046688</v>
      </c>
    </row>
    <row r="54" spans="2:25" ht="18.5" x14ac:dyDescent="0.45">
      <c r="B54" s="202" t="s">
        <v>295</v>
      </c>
      <c r="I54" s="149"/>
      <c r="J54" s="180" t="s">
        <v>235</v>
      </c>
      <c r="K54" s="179">
        <v>0.8</v>
      </c>
      <c r="L54" s="151">
        <v>0.8</v>
      </c>
      <c r="M54" s="251">
        <f>(0.1114*(L54*100)^1.1134)/100</f>
        <v>0.14648244567755681</v>
      </c>
      <c r="N54" s="251">
        <f>(0.0606*(L54*100)^1.1502)/100</f>
        <v>9.362821143486616E-2</v>
      </c>
      <c r="O54" s="178">
        <f t="shared" si="14"/>
        <v>3.0000000000000004</v>
      </c>
      <c r="P54" s="178">
        <f t="shared" si="15"/>
        <v>0.35110579288074806</v>
      </c>
      <c r="Q54" s="178">
        <f t="shared" si="16"/>
        <v>0.36620611419389199</v>
      </c>
      <c r="R54" s="178">
        <f t="shared" si="17"/>
        <v>0.45775764274236502</v>
      </c>
      <c r="S54" s="178">
        <f t="shared" si="18"/>
        <v>0.45775764274236502</v>
      </c>
      <c r="T54" s="178">
        <f t="shared" si="19"/>
        <v>3.0000000000000004</v>
      </c>
      <c r="U54" s="178">
        <f t="shared" si="20"/>
        <v>0.70221158576149612</v>
      </c>
      <c r="V54" s="178">
        <f t="shared" si="21"/>
        <v>0.3083840961632775</v>
      </c>
      <c r="W54" s="178">
        <f t="shared" si="22"/>
        <v>0.38548012020409689</v>
      </c>
      <c r="X54" s="178">
        <f t="shared" si="23"/>
        <v>0.6241880762324411</v>
      </c>
      <c r="Y54" s="178">
        <f t="shared" si="24"/>
        <v>0.93628211434866149</v>
      </c>
    </row>
    <row r="55" spans="2:25" x14ac:dyDescent="0.35">
      <c r="I55" s="149"/>
      <c r="J55" s="180" t="s">
        <v>240</v>
      </c>
      <c r="K55" s="179">
        <v>1.6</v>
      </c>
      <c r="L55" s="151">
        <v>1.6</v>
      </c>
      <c r="M55" s="251">
        <f>(0.1479*(L55*100)^1.0113)/100</f>
        <v>0.25060787412923802</v>
      </c>
      <c r="N55" s="251">
        <f>(0.0944*(L55*100)^1.0539)/100</f>
        <v>0.19856104235973721</v>
      </c>
      <c r="O55" s="178">
        <f t="shared" si="14"/>
        <v>6.0000000000000009</v>
      </c>
      <c r="P55" s="178">
        <f t="shared" si="15"/>
        <v>0.7446039088490144</v>
      </c>
      <c r="Q55" s="178">
        <f t="shared" si="16"/>
        <v>0.62651968532309499</v>
      </c>
      <c r="R55" s="178">
        <f t="shared" si="17"/>
        <v>0.78314960665386868</v>
      </c>
      <c r="S55" s="178">
        <f t="shared" si="18"/>
        <v>0.78314960665386868</v>
      </c>
      <c r="T55" s="178">
        <f t="shared" si="19"/>
        <v>6.0000000000000009</v>
      </c>
      <c r="U55" s="178">
        <f t="shared" si="20"/>
        <v>1.4892078176980288</v>
      </c>
      <c r="V55" s="178">
        <f t="shared" si="21"/>
        <v>0.52759552448260638</v>
      </c>
      <c r="W55" s="178">
        <f t="shared" si="22"/>
        <v>0.65949440560325789</v>
      </c>
      <c r="X55" s="178">
        <f t="shared" si="23"/>
        <v>1.3237402823982478</v>
      </c>
      <c r="Y55" s="178">
        <f t="shared" si="24"/>
        <v>1.9856104235973722</v>
      </c>
    </row>
    <row r="56" spans="2:25" x14ac:dyDescent="0.35">
      <c r="B56" s="185" t="s">
        <v>246</v>
      </c>
      <c r="C56" s="185"/>
      <c r="D56" s="185"/>
      <c r="E56" s="185"/>
      <c r="F56" s="185"/>
      <c r="G56" s="185"/>
      <c r="H56" s="185"/>
      <c r="I56" s="149"/>
      <c r="J56" s="180" t="s">
        <v>241</v>
      </c>
      <c r="K56" s="179">
        <v>0.8</v>
      </c>
      <c r="L56" s="151">
        <v>0.8</v>
      </c>
      <c r="M56" s="220">
        <v>0.2</v>
      </c>
      <c r="N56" s="220">
        <v>0.1</v>
      </c>
      <c r="O56" s="222">
        <f>3*L56/$E$5</f>
        <v>3.0000000000000004</v>
      </c>
      <c r="P56" s="222">
        <f>L56*3*N56/$E$5</f>
        <v>0.30000000000000004</v>
      </c>
      <c r="Q56" s="222">
        <f>L56*M56*2/$E$5</f>
        <v>0.40000000000000008</v>
      </c>
      <c r="R56" s="222">
        <f>L56*2.5*M56/$E$5</f>
        <v>0.5</v>
      </c>
      <c r="S56" s="222">
        <f>L56*2.5*M56/$E$5</f>
        <v>0.5</v>
      </c>
      <c r="T56" s="222">
        <f>L56*3/0.8</f>
        <v>3.0000000000000004</v>
      </c>
      <c r="U56" s="222">
        <f>L56*6*N56/$E$5</f>
        <v>0.60000000000000009</v>
      </c>
      <c r="V56" s="222">
        <f>L56*2*M56/0.95</f>
        <v>0.336842105263158</v>
      </c>
      <c r="W56" s="222">
        <f>L56*2.5*M56/0.95</f>
        <v>0.4210526315789474</v>
      </c>
      <c r="X56" s="222">
        <f>L56*N56*6/0.9</f>
        <v>0.53333333333333344</v>
      </c>
      <c r="Y56" s="222">
        <f>L56*N56*9/0.9</f>
        <v>0.80000000000000016</v>
      </c>
    </row>
    <row r="57" spans="2:25" ht="28" x14ac:dyDescent="0.35">
      <c r="B57" s="186" t="s">
        <v>247</v>
      </c>
      <c r="C57" s="187" t="s">
        <v>200</v>
      </c>
      <c r="D57" s="187" t="s">
        <v>201</v>
      </c>
      <c r="E57" s="187" t="s">
        <v>202</v>
      </c>
      <c r="F57" s="187" t="s">
        <v>203</v>
      </c>
      <c r="G57" s="187" t="s">
        <v>204</v>
      </c>
      <c r="H57" s="187" t="s">
        <v>205</v>
      </c>
      <c r="J57" s="180" t="s">
        <v>242</v>
      </c>
      <c r="K57" s="179">
        <v>0.8</v>
      </c>
      <c r="L57" s="151">
        <v>0.8</v>
      </c>
      <c r="M57" s="220">
        <v>0.3</v>
      </c>
      <c r="N57" s="220">
        <v>0.16</v>
      </c>
      <c r="O57" s="222">
        <f>3*L57/$E$5</f>
        <v>3.0000000000000004</v>
      </c>
      <c r="P57" s="222">
        <f>L57*3*N57/$E$5</f>
        <v>0.48000000000000004</v>
      </c>
      <c r="Q57" s="222">
        <f>L57*M57*2/$E$5</f>
        <v>0.6</v>
      </c>
      <c r="R57" s="222">
        <f>L57*2.5*M57/$E$5</f>
        <v>0.74999999999999989</v>
      </c>
      <c r="S57" s="222">
        <f>L57*2.5*M57/$E$5</f>
        <v>0.74999999999999989</v>
      </c>
      <c r="T57" s="222">
        <f>L57*3/0.8</f>
        <v>3.0000000000000004</v>
      </c>
      <c r="U57" s="222">
        <f>L57*6*N57/$E$5</f>
        <v>0.96000000000000008</v>
      </c>
      <c r="V57" s="222">
        <f>L57*2*M57/0.95</f>
        <v>0.50526315789473686</v>
      </c>
      <c r="W57" s="222">
        <f>L57*2.5*M57/0.95</f>
        <v>0.63157894736842102</v>
      </c>
      <c r="X57" s="222">
        <f>L57*N57*6/0.9</f>
        <v>0.85333333333333328</v>
      </c>
      <c r="Y57" s="222">
        <f>L57*N57*9/0.9</f>
        <v>1.28</v>
      </c>
    </row>
    <row r="58" spans="2:25" x14ac:dyDescent="0.35">
      <c r="B58" s="186" t="s">
        <v>213</v>
      </c>
      <c r="C58" s="186">
        <v>2.2000000000000002</v>
      </c>
      <c r="D58" s="186">
        <v>2.1</v>
      </c>
      <c r="E58" s="186">
        <v>2</v>
      </c>
      <c r="F58" s="186">
        <v>1.8</v>
      </c>
      <c r="G58" s="186">
        <v>1.7</v>
      </c>
      <c r="H58" s="186">
        <v>1.6</v>
      </c>
      <c r="J58" s="180" t="s">
        <v>243</v>
      </c>
      <c r="K58" s="179">
        <v>0.45</v>
      </c>
      <c r="L58" s="151">
        <v>0.45</v>
      </c>
      <c r="M58" s="220">
        <v>0.3</v>
      </c>
      <c r="N58" s="220">
        <v>0.16</v>
      </c>
      <c r="O58" s="222">
        <f>3*L58/$E$5</f>
        <v>1.6875</v>
      </c>
      <c r="P58" s="222">
        <f>L58*3*N58/$E$5</f>
        <v>0.27</v>
      </c>
      <c r="Q58" s="222">
        <f>L58*M58*2/$E$5</f>
        <v>0.33750000000000002</v>
      </c>
      <c r="R58" s="222">
        <f>L58*2.5*M58/$E$5</f>
        <v>0.42187499999999994</v>
      </c>
      <c r="S58" s="222">
        <f>L58*2.5*M58/$E$5</f>
        <v>0.42187499999999994</v>
      </c>
      <c r="T58" s="222">
        <f>L58*3/0.8</f>
        <v>1.6875</v>
      </c>
      <c r="U58" s="222">
        <f>L58*6*N58/$E$5</f>
        <v>0.54</v>
      </c>
      <c r="V58" s="222">
        <f>L58*2*M58/0.95</f>
        <v>0.28421052631578952</v>
      </c>
      <c r="W58" s="222">
        <f>L58*2.5*M58/0.95</f>
        <v>0.35526315789473684</v>
      </c>
      <c r="X58" s="222">
        <f>L58*N58*6/0.9</f>
        <v>0.48000000000000004</v>
      </c>
      <c r="Y58" s="222">
        <f>L58*N58*9/0.9</f>
        <v>0.72000000000000008</v>
      </c>
    </row>
    <row r="59" spans="2:25" x14ac:dyDescent="0.35">
      <c r="B59" s="186" t="s">
        <v>248</v>
      </c>
      <c r="C59" s="186">
        <v>2.1</v>
      </c>
      <c r="D59" s="186">
        <v>2</v>
      </c>
      <c r="E59" s="186">
        <v>1.9</v>
      </c>
      <c r="F59" s="186">
        <v>1.7</v>
      </c>
      <c r="G59" s="186">
        <v>1.6</v>
      </c>
      <c r="H59" s="186">
        <v>1.5</v>
      </c>
      <c r="J59" s="180" t="s">
        <v>244</v>
      </c>
      <c r="K59" s="179">
        <v>0.6</v>
      </c>
      <c r="L59" s="151">
        <v>0.6</v>
      </c>
      <c r="M59" s="220">
        <v>0.26</v>
      </c>
      <c r="N59" s="220">
        <v>0.15</v>
      </c>
      <c r="O59" s="222">
        <f>3*L59/$E$5</f>
        <v>2.2499999999999996</v>
      </c>
      <c r="P59" s="222">
        <f>L59*3*N59/$E$5</f>
        <v>0.33749999999999991</v>
      </c>
      <c r="Q59" s="222">
        <f>L59*M59*2/$E$5</f>
        <v>0.38999999999999996</v>
      </c>
      <c r="R59" s="222">
        <f>L59*2.5*M59/$E$5</f>
        <v>0.48749999999999999</v>
      </c>
      <c r="S59" s="222">
        <f>L59*2.5*M59/$E$5</f>
        <v>0.48749999999999999</v>
      </c>
      <c r="T59" s="222">
        <f>L59*3/0.8</f>
        <v>2.2499999999999996</v>
      </c>
      <c r="U59" s="222">
        <f>L59*6*N59/$E$5</f>
        <v>0.67499999999999982</v>
      </c>
      <c r="V59" s="222">
        <f>L59*2*M59/0.95</f>
        <v>0.32842105263157895</v>
      </c>
      <c r="W59" s="222">
        <f>L59*2.5*M59/0.95</f>
        <v>0.41052631578947374</v>
      </c>
      <c r="X59" s="222">
        <f>L59*N59*6/0.9</f>
        <v>0.6</v>
      </c>
      <c r="Y59" s="222">
        <f>L59*N59*9/0.9</f>
        <v>0.89999999999999991</v>
      </c>
    </row>
    <row r="60" spans="2:25" ht="15.5" x14ac:dyDescent="0.35">
      <c r="B60" s="186" t="s">
        <v>249</v>
      </c>
      <c r="C60" s="186">
        <v>2</v>
      </c>
      <c r="D60" s="186">
        <v>1.9</v>
      </c>
      <c r="E60" s="186">
        <v>1.8</v>
      </c>
      <c r="F60" s="186">
        <v>1.6</v>
      </c>
      <c r="G60" s="186">
        <v>1.5</v>
      </c>
      <c r="H60" s="186">
        <v>1.4</v>
      </c>
      <c r="J60" s="148" t="s">
        <v>377</v>
      </c>
      <c r="K60" s="149"/>
      <c r="L60" s="149"/>
      <c r="M60" s="149"/>
      <c r="N60" s="149"/>
    </row>
    <row r="61" spans="2:25" x14ac:dyDescent="0.35">
      <c r="B61" s="186" t="s">
        <v>250</v>
      </c>
      <c r="C61" s="186">
        <v>1.9</v>
      </c>
      <c r="D61" s="186">
        <v>1.8</v>
      </c>
      <c r="E61" s="186">
        <v>1.7</v>
      </c>
      <c r="F61" s="188" t="s">
        <v>220</v>
      </c>
      <c r="G61" s="188"/>
      <c r="H61" s="188"/>
    </row>
    <row r="62" spans="2:25" x14ac:dyDescent="0.35">
      <c r="B62" s="189" t="s">
        <v>251</v>
      </c>
      <c r="C62" s="189"/>
      <c r="D62" s="189"/>
      <c r="E62" s="189"/>
      <c r="F62" s="190"/>
      <c r="G62" s="190"/>
      <c r="H62" s="190"/>
      <c r="J62" s="195" t="s">
        <v>342</v>
      </c>
    </row>
    <row r="63" spans="2:25" x14ac:dyDescent="0.35">
      <c r="B63" s="149"/>
      <c r="C63" s="149"/>
      <c r="D63" s="149"/>
      <c r="E63" s="149"/>
      <c r="F63" s="149"/>
      <c r="G63" s="149"/>
      <c r="H63" s="149"/>
    </row>
    <row r="64" spans="2:25" ht="15.5" x14ac:dyDescent="0.35">
      <c r="B64" s="191" t="s">
        <v>252</v>
      </c>
      <c r="C64" s="191"/>
      <c r="D64" s="191"/>
      <c r="E64" s="191"/>
      <c r="F64" s="191"/>
      <c r="G64" s="149"/>
      <c r="H64" s="149"/>
    </row>
    <row r="65" spans="2:8" ht="28" x14ac:dyDescent="0.35">
      <c r="B65" s="187" t="s">
        <v>200</v>
      </c>
      <c r="C65" s="187" t="s">
        <v>201</v>
      </c>
      <c r="D65" s="187" t="s">
        <v>202</v>
      </c>
      <c r="E65" s="187" t="s">
        <v>203</v>
      </c>
      <c r="F65" s="187" t="s">
        <v>204</v>
      </c>
      <c r="G65" s="187" t="s">
        <v>205</v>
      </c>
      <c r="H65" s="149"/>
    </row>
    <row r="66" spans="2:8" ht="15" customHeight="1" x14ac:dyDescent="0.35">
      <c r="B66" s="260" t="s">
        <v>253</v>
      </c>
      <c r="C66" s="261"/>
      <c r="D66" s="261"/>
      <c r="E66" s="261"/>
      <c r="F66" s="261"/>
      <c r="G66" s="262"/>
      <c r="H66" s="149"/>
    </row>
    <row r="67" spans="2:8" x14ac:dyDescent="0.35">
      <c r="B67" s="186">
        <v>250</v>
      </c>
      <c r="C67" s="186">
        <v>225</v>
      </c>
      <c r="D67" s="186">
        <v>200</v>
      </c>
      <c r="E67" s="186">
        <v>150</v>
      </c>
      <c r="F67" s="186">
        <v>125</v>
      </c>
      <c r="G67" s="186">
        <v>100</v>
      </c>
      <c r="H67" s="149"/>
    </row>
    <row r="68" spans="2:8" ht="15" customHeight="1" x14ac:dyDescent="0.35">
      <c r="E68" s="260" t="s">
        <v>227</v>
      </c>
      <c r="F68" s="261"/>
      <c r="G68" s="262"/>
    </row>
    <row r="69" spans="2:8" x14ac:dyDescent="0.35">
      <c r="E69" s="186">
        <v>100</v>
      </c>
      <c r="F69" s="186">
        <v>100</v>
      </c>
      <c r="G69" s="186">
        <v>100</v>
      </c>
    </row>
    <row r="70" spans="2:8" ht="15" customHeight="1" x14ac:dyDescent="0.35">
      <c r="B70" s="260" t="s">
        <v>254</v>
      </c>
      <c r="C70" s="261"/>
      <c r="D70" s="261"/>
      <c r="E70" s="261"/>
      <c r="F70" s="261"/>
      <c r="G70" s="262"/>
    </row>
    <row r="71" spans="2:8" x14ac:dyDescent="0.35">
      <c r="B71" s="186">
        <v>300</v>
      </c>
      <c r="C71" s="186">
        <v>275</v>
      </c>
      <c r="D71" s="186">
        <v>250</v>
      </c>
      <c r="E71" s="186">
        <v>200</v>
      </c>
      <c r="F71" s="186">
        <v>175</v>
      </c>
      <c r="G71" s="186">
        <v>150</v>
      </c>
    </row>
    <row r="73" spans="2:8" ht="17.5" x14ac:dyDescent="0.45">
      <c r="B73" s="185" t="s">
        <v>255</v>
      </c>
      <c r="C73" s="185"/>
      <c r="D73" s="185"/>
      <c r="E73" s="185"/>
      <c r="F73" s="185"/>
      <c r="G73" s="185"/>
      <c r="H73" s="185"/>
    </row>
    <row r="74" spans="2:8" ht="28" x14ac:dyDescent="0.35">
      <c r="B74" s="186" t="s">
        <v>256</v>
      </c>
      <c r="C74" s="187" t="s">
        <v>200</v>
      </c>
      <c r="D74" s="187" t="s">
        <v>201</v>
      </c>
      <c r="E74" s="187" t="s">
        <v>202</v>
      </c>
      <c r="F74" s="187" t="s">
        <v>203</v>
      </c>
      <c r="G74" s="187" t="s">
        <v>204</v>
      </c>
      <c r="H74" s="187" t="s">
        <v>205</v>
      </c>
    </row>
    <row r="75" spans="2:8" x14ac:dyDescent="0.35">
      <c r="B75" s="186" t="s">
        <v>257</v>
      </c>
      <c r="C75" s="186">
        <v>2.1</v>
      </c>
      <c r="D75" s="186">
        <v>2</v>
      </c>
      <c r="E75" s="186">
        <v>1.9</v>
      </c>
      <c r="F75" s="186">
        <v>1.7</v>
      </c>
      <c r="G75" s="186">
        <v>1.6</v>
      </c>
      <c r="H75" s="186">
        <v>1.5</v>
      </c>
    </row>
    <row r="76" spans="2:8" x14ac:dyDescent="0.35">
      <c r="B76" s="186" t="s">
        <v>258</v>
      </c>
      <c r="C76" s="186">
        <v>1.9</v>
      </c>
      <c r="D76" s="186">
        <v>1.8</v>
      </c>
      <c r="E76" s="186">
        <v>1.8</v>
      </c>
      <c r="F76" s="186">
        <v>1.6</v>
      </c>
      <c r="G76" s="186">
        <v>1.5</v>
      </c>
      <c r="H76" s="186">
        <v>1.4</v>
      </c>
    </row>
    <row r="77" spans="2:8" x14ac:dyDescent="0.35">
      <c r="B77" s="186" t="s">
        <v>259</v>
      </c>
      <c r="C77" s="186">
        <v>1.7</v>
      </c>
      <c r="D77" s="186">
        <v>1.6</v>
      </c>
      <c r="E77" s="186">
        <v>1.5</v>
      </c>
      <c r="F77" s="186">
        <v>1.4</v>
      </c>
      <c r="G77" s="186">
        <v>1.3</v>
      </c>
      <c r="H77" s="186">
        <v>1.2</v>
      </c>
    </row>
    <row r="79" spans="2:8" ht="17.5" x14ac:dyDescent="0.45">
      <c r="B79" s="185" t="s">
        <v>339</v>
      </c>
      <c r="C79" s="185"/>
      <c r="D79" s="185"/>
      <c r="E79" s="185"/>
      <c r="F79" s="185"/>
      <c r="G79" s="185"/>
      <c r="H79" s="185"/>
    </row>
    <row r="80" spans="2:8" ht="28" x14ac:dyDescent="0.35">
      <c r="B80" s="186" t="s">
        <v>256</v>
      </c>
      <c r="C80" s="187" t="s">
        <v>200</v>
      </c>
      <c r="D80" s="187" t="s">
        <v>201</v>
      </c>
      <c r="E80" s="187" t="s">
        <v>202</v>
      </c>
      <c r="F80" s="187" t="s">
        <v>203</v>
      </c>
      <c r="G80" s="187" t="s">
        <v>204</v>
      </c>
      <c r="H80" s="187" t="s">
        <v>205</v>
      </c>
    </row>
    <row r="81" spans="2:8" x14ac:dyDescent="0.35">
      <c r="B81" s="186" t="s">
        <v>257</v>
      </c>
      <c r="C81" s="186">
        <v>2</v>
      </c>
      <c r="D81" s="186">
        <v>1.9</v>
      </c>
      <c r="E81" s="186">
        <v>1.8</v>
      </c>
      <c r="F81" s="186">
        <v>1.6</v>
      </c>
      <c r="G81" s="186">
        <v>1.5</v>
      </c>
      <c r="H81" s="186">
        <v>1.4</v>
      </c>
    </row>
    <row r="82" spans="2:8" x14ac:dyDescent="0.35">
      <c r="B82" s="186" t="s">
        <v>258</v>
      </c>
      <c r="C82" s="186">
        <v>1.7</v>
      </c>
      <c r="D82" s="186">
        <v>1.6</v>
      </c>
      <c r="E82" s="186">
        <v>1.5</v>
      </c>
      <c r="F82" s="186">
        <v>1.4</v>
      </c>
      <c r="G82" s="186">
        <v>1.3</v>
      </c>
      <c r="H82" s="186">
        <v>1.2</v>
      </c>
    </row>
    <row r="83" spans="2:8" x14ac:dyDescent="0.35">
      <c r="B83" s="186" t="s">
        <v>259</v>
      </c>
      <c r="C83" s="186">
        <v>1.5</v>
      </c>
      <c r="D83" s="186">
        <v>1.4</v>
      </c>
      <c r="E83" s="186">
        <v>1.3</v>
      </c>
      <c r="F83" s="186">
        <v>1.2</v>
      </c>
      <c r="G83" s="186">
        <v>1.1000000000000001</v>
      </c>
      <c r="H83" s="186">
        <v>1</v>
      </c>
    </row>
  </sheetData>
  <mergeCells count="15">
    <mergeCell ref="B70:G70"/>
    <mergeCell ref="X13:Y13"/>
    <mergeCell ref="O13:R13"/>
    <mergeCell ref="S13:U13"/>
    <mergeCell ref="F18:H18"/>
    <mergeCell ref="E23:G23"/>
    <mergeCell ref="O38:R38"/>
    <mergeCell ref="S38:U38"/>
    <mergeCell ref="X38:Y38"/>
    <mergeCell ref="V13:W13"/>
    <mergeCell ref="V38:W38"/>
    <mergeCell ref="K38:L38"/>
    <mergeCell ref="M38:N38"/>
    <mergeCell ref="E68:G68"/>
    <mergeCell ref="B66:G6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7"/>
  <sheetViews>
    <sheetView topLeftCell="K10" workbookViewId="0">
      <selection activeCell="AO25" sqref="AO25"/>
    </sheetView>
  </sheetViews>
  <sheetFormatPr baseColWidth="10" defaultRowHeight="14.5" x14ac:dyDescent="0.35"/>
  <cols>
    <col min="1" max="1" width="1.1796875" customWidth="1"/>
    <col min="2" max="2" width="12.453125" customWidth="1"/>
    <col min="3" max="3" width="9" customWidth="1"/>
    <col min="4" max="4" width="8.453125" customWidth="1"/>
    <col min="5" max="5" width="7.26953125" customWidth="1"/>
    <col min="6" max="6" width="8.453125" customWidth="1"/>
    <col min="7" max="7" width="8.7265625" customWidth="1"/>
    <col min="8" max="8" width="9.1796875" customWidth="1"/>
    <col min="9" max="9" width="4" customWidth="1"/>
    <col min="11" max="11" width="7.7265625" customWidth="1"/>
    <col min="12" max="12" width="8.1796875" customWidth="1"/>
    <col min="13" max="13" width="7.7265625" customWidth="1"/>
    <col min="14" max="14" width="7.54296875" customWidth="1"/>
    <col min="15" max="15" width="8" customWidth="1"/>
    <col min="16" max="16" width="7.1796875" customWidth="1"/>
    <col min="17" max="17" width="6.26953125" customWidth="1"/>
    <col min="18" max="18" width="7.26953125" customWidth="1"/>
    <col min="19" max="19" width="7.1796875" customWidth="1"/>
    <col min="20" max="21" width="7.26953125" customWidth="1"/>
    <col min="22" max="22" width="6.81640625" customWidth="1"/>
    <col min="23" max="23" width="9" customWidth="1"/>
    <col min="24" max="24" width="8.54296875" customWidth="1"/>
    <col min="25" max="25" width="6.26953125" customWidth="1"/>
    <col min="26" max="26" width="11.54296875" customWidth="1"/>
    <col min="27" max="27" width="6.7265625" customWidth="1"/>
    <col min="28" max="28" width="9.26953125" customWidth="1"/>
    <col min="29" max="29" width="8.1796875" customWidth="1"/>
    <col min="30" max="30" width="8" customWidth="1"/>
    <col min="31" max="31" width="5.7265625" customWidth="1"/>
    <col min="32" max="32" width="6.453125" customWidth="1"/>
    <col min="33" max="33" width="8.1796875" customWidth="1"/>
    <col min="34" max="34" width="5.54296875" customWidth="1"/>
    <col min="35" max="35" width="7.1796875" customWidth="1"/>
    <col min="36" max="36" width="9.453125" customWidth="1"/>
  </cols>
  <sheetData>
    <row r="1" spans="1:38" x14ac:dyDescent="0.35">
      <c r="B1" s="142" t="s">
        <v>260</v>
      </c>
      <c r="C1" s="149"/>
      <c r="D1" s="149"/>
      <c r="E1" s="149"/>
      <c r="F1" s="149"/>
      <c r="G1" s="149"/>
      <c r="H1" s="149"/>
      <c r="I1" s="149"/>
      <c r="J1" s="149"/>
      <c r="K1" s="149"/>
      <c r="L1" s="149"/>
      <c r="M1" s="149"/>
      <c r="P1" s="149" t="s">
        <v>381</v>
      </c>
    </row>
    <row r="2" spans="1:38" x14ac:dyDescent="0.35">
      <c r="A2" s="149"/>
      <c r="B2" s="149"/>
      <c r="C2" s="149"/>
      <c r="D2" s="149"/>
      <c r="E2" s="149"/>
      <c r="F2" s="149"/>
      <c r="G2" s="149"/>
      <c r="H2" s="149"/>
      <c r="I2" s="149"/>
      <c r="J2" s="149"/>
      <c r="K2" s="149"/>
      <c r="L2" s="149"/>
      <c r="M2" s="149"/>
    </row>
    <row r="3" spans="1:38" x14ac:dyDescent="0.35">
      <c r="A3" s="149"/>
      <c r="B3" s="149"/>
      <c r="C3" s="148" t="s">
        <v>261</v>
      </c>
      <c r="D3" s="149"/>
      <c r="E3" s="149"/>
      <c r="F3" s="149"/>
      <c r="G3" s="149"/>
      <c r="H3" s="149"/>
      <c r="I3" s="149"/>
      <c r="J3" s="149"/>
      <c r="K3" s="149"/>
      <c r="L3" s="149"/>
      <c r="M3" s="149"/>
    </row>
    <row r="4" spans="1:38" ht="15.5" x14ac:dyDescent="0.35">
      <c r="A4" s="149"/>
      <c r="B4" s="149"/>
      <c r="C4" s="149"/>
      <c r="D4" s="150" t="s">
        <v>186</v>
      </c>
      <c r="E4" s="151">
        <v>0.85</v>
      </c>
      <c r="F4" s="192" t="s">
        <v>262</v>
      </c>
      <c r="G4" s="157"/>
      <c r="H4" s="157"/>
      <c r="I4" s="157"/>
      <c r="J4" s="157"/>
      <c r="K4" s="158"/>
      <c r="L4" s="157"/>
      <c r="M4" s="157"/>
      <c r="N4" s="159"/>
      <c r="O4" s="160"/>
    </row>
    <row r="5" spans="1:38" x14ac:dyDescent="0.35">
      <c r="A5" s="149"/>
      <c r="B5" s="149"/>
      <c r="C5" s="149"/>
      <c r="D5" s="150" t="s">
        <v>188</v>
      </c>
      <c r="E5" s="151">
        <v>1</v>
      </c>
      <c r="F5" s="192" t="s">
        <v>263</v>
      </c>
      <c r="G5" s="153"/>
      <c r="H5" s="153"/>
      <c r="I5" s="153"/>
      <c r="J5" s="153"/>
      <c r="K5" s="153"/>
      <c r="L5" s="153"/>
      <c r="M5" s="153"/>
      <c r="N5" s="153"/>
      <c r="O5" s="154"/>
    </row>
    <row r="6" spans="1:38" x14ac:dyDescent="0.35">
      <c r="A6" s="149"/>
      <c r="B6" s="149"/>
      <c r="C6" s="149"/>
      <c r="D6" s="150" t="s">
        <v>189</v>
      </c>
      <c r="E6" s="151">
        <v>0.9</v>
      </c>
      <c r="F6" s="192" t="s">
        <v>264</v>
      </c>
      <c r="G6" s="157"/>
      <c r="H6" s="157"/>
      <c r="I6" s="157"/>
      <c r="J6" s="157"/>
      <c r="K6" s="157"/>
      <c r="L6" s="157"/>
      <c r="M6" s="157"/>
      <c r="N6" s="159"/>
      <c r="O6" s="160"/>
    </row>
    <row r="7" spans="1:38" x14ac:dyDescent="0.35">
      <c r="A7" s="149"/>
      <c r="B7" s="149"/>
      <c r="C7" s="149"/>
      <c r="D7" s="150" t="s">
        <v>190</v>
      </c>
      <c r="E7" s="151">
        <v>0.95</v>
      </c>
      <c r="F7" s="214" t="s">
        <v>282</v>
      </c>
      <c r="G7" s="163"/>
      <c r="H7" s="163"/>
      <c r="I7" s="163"/>
      <c r="J7" s="163"/>
      <c r="K7" s="163"/>
      <c r="L7" s="163"/>
      <c r="M7" s="163"/>
      <c r="N7" s="211"/>
      <c r="O7" s="167"/>
    </row>
    <row r="8" spans="1:38" x14ac:dyDescent="0.35">
      <c r="A8" s="149"/>
      <c r="B8" s="149"/>
      <c r="C8" s="149"/>
      <c r="D8" s="149"/>
      <c r="E8" s="166"/>
      <c r="F8" s="162" t="s">
        <v>320</v>
      </c>
      <c r="G8" s="163"/>
      <c r="H8" s="163"/>
      <c r="I8" s="163"/>
      <c r="J8" s="163"/>
      <c r="K8" s="163"/>
      <c r="L8" s="163"/>
      <c r="M8" s="163"/>
      <c r="N8" s="211"/>
      <c r="O8" s="167"/>
    </row>
    <row r="9" spans="1:38" x14ac:dyDescent="0.35">
      <c r="A9" s="149"/>
      <c r="B9" s="196" t="s">
        <v>272</v>
      </c>
      <c r="C9" s="197"/>
      <c r="D9" s="149"/>
      <c r="E9" s="149"/>
      <c r="F9" s="162" t="s">
        <v>319</v>
      </c>
      <c r="G9" s="163"/>
      <c r="H9" s="163"/>
      <c r="I9" s="163"/>
      <c r="J9" s="163"/>
      <c r="K9" s="163"/>
      <c r="L9" s="163"/>
      <c r="M9" s="163"/>
      <c r="N9" s="211"/>
      <c r="O9" s="167"/>
    </row>
    <row r="10" spans="1:38" x14ac:dyDescent="0.35">
      <c r="A10" s="149"/>
      <c r="B10" s="149"/>
      <c r="C10" s="149"/>
      <c r="D10" s="149"/>
      <c r="E10" s="149"/>
      <c r="F10" s="168" t="s">
        <v>265</v>
      </c>
      <c r="G10" s="169"/>
      <c r="H10" s="169"/>
      <c r="I10" s="169"/>
      <c r="J10" s="169"/>
      <c r="K10" s="169"/>
      <c r="L10" s="169"/>
      <c r="M10" s="169"/>
      <c r="N10" s="212"/>
      <c r="O10" s="213"/>
    </row>
    <row r="11" spans="1:38" x14ac:dyDescent="0.35">
      <c r="A11" s="149"/>
      <c r="C11" s="149"/>
      <c r="D11" s="149"/>
      <c r="E11" s="149"/>
      <c r="F11" s="149"/>
      <c r="G11" s="149"/>
      <c r="H11" s="149"/>
      <c r="I11" s="149"/>
      <c r="J11" s="149"/>
      <c r="K11" s="149"/>
      <c r="L11" s="149"/>
      <c r="M11" s="149"/>
    </row>
    <row r="12" spans="1:38" ht="15.5" x14ac:dyDescent="0.35">
      <c r="A12" s="149"/>
      <c r="B12" s="171" t="s">
        <v>299</v>
      </c>
      <c r="C12" s="149"/>
      <c r="D12" s="149"/>
      <c r="E12" s="149"/>
      <c r="F12" s="149"/>
      <c r="G12" s="149"/>
      <c r="H12" s="149"/>
      <c r="I12" s="149"/>
      <c r="J12" s="171" t="s">
        <v>300</v>
      </c>
      <c r="K12" s="149"/>
      <c r="L12" s="149"/>
      <c r="M12" s="149"/>
    </row>
    <row r="13" spans="1:38" x14ac:dyDescent="0.35">
      <c r="A13" s="149"/>
      <c r="B13" s="149"/>
      <c r="C13" s="149"/>
      <c r="D13" s="149"/>
      <c r="E13" s="149"/>
      <c r="F13" s="149"/>
      <c r="G13" s="149"/>
      <c r="H13" s="149"/>
      <c r="I13" s="149"/>
      <c r="J13" s="149"/>
      <c r="K13" s="149"/>
      <c r="L13" s="149"/>
      <c r="M13" s="149"/>
      <c r="Z13" s="148" t="s">
        <v>331</v>
      </c>
      <c r="AA13" s="149"/>
      <c r="AB13" s="149"/>
      <c r="AC13" s="149"/>
      <c r="AD13" s="149"/>
    </row>
    <row r="14" spans="1:38" x14ac:dyDescent="0.35">
      <c r="A14" s="149"/>
      <c r="B14" s="172" t="s">
        <v>195</v>
      </c>
      <c r="C14" s="149"/>
      <c r="D14" s="149"/>
      <c r="E14" s="149"/>
      <c r="F14" s="149"/>
      <c r="G14" s="149"/>
      <c r="H14" s="149"/>
      <c r="I14" s="149"/>
      <c r="J14" s="149"/>
      <c r="K14" s="173" t="s">
        <v>196</v>
      </c>
      <c r="L14" s="173"/>
      <c r="M14" s="173"/>
      <c r="N14" s="173"/>
      <c r="Q14" s="280" t="s">
        <v>344</v>
      </c>
      <c r="R14" s="265"/>
      <c r="S14" s="265"/>
      <c r="T14" s="265"/>
      <c r="U14" s="265"/>
      <c r="V14" s="266"/>
      <c r="W14" s="263" t="s">
        <v>292</v>
      </c>
      <c r="X14" s="263"/>
      <c r="Z14" s="149"/>
      <c r="AA14" s="226" t="s">
        <v>335</v>
      </c>
      <c r="AB14" s="173"/>
      <c r="AC14" s="173"/>
      <c r="AD14" s="223"/>
      <c r="AE14" s="280" t="s">
        <v>344</v>
      </c>
      <c r="AF14" s="265"/>
      <c r="AG14" s="265"/>
      <c r="AH14" s="265"/>
      <c r="AI14" s="265"/>
      <c r="AJ14" s="266"/>
      <c r="AK14" s="279" t="s">
        <v>292</v>
      </c>
      <c r="AL14" s="263"/>
    </row>
    <row r="15" spans="1:38" ht="89.25" customHeight="1" x14ac:dyDescent="0.35">
      <c r="A15" s="149"/>
      <c r="B15" s="174" t="s">
        <v>199</v>
      </c>
      <c r="C15" s="174" t="s">
        <v>200</v>
      </c>
      <c r="D15" s="174" t="s">
        <v>201</v>
      </c>
      <c r="E15" s="174" t="s">
        <v>202</v>
      </c>
      <c r="F15" s="174" t="s">
        <v>203</v>
      </c>
      <c r="G15" s="174" t="s">
        <v>204</v>
      </c>
      <c r="H15" s="174" t="s">
        <v>205</v>
      </c>
      <c r="I15" s="149"/>
      <c r="J15" s="193" t="s">
        <v>206</v>
      </c>
      <c r="K15" s="193" t="s">
        <v>266</v>
      </c>
      <c r="L15" s="193" t="s">
        <v>345</v>
      </c>
      <c r="M15" s="193" t="s">
        <v>208</v>
      </c>
      <c r="N15" s="193" t="s">
        <v>209</v>
      </c>
      <c r="O15" s="193" t="s">
        <v>311</v>
      </c>
      <c r="P15" s="193" t="s">
        <v>312</v>
      </c>
      <c r="Q15" s="193" t="s">
        <v>267</v>
      </c>
      <c r="R15" s="193" t="s">
        <v>211</v>
      </c>
      <c r="S15" s="193" t="s">
        <v>273</v>
      </c>
      <c r="T15" s="193" t="s">
        <v>329</v>
      </c>
      <c r="U15" s="198" t="s">
        <v>274</v>
      </c>
      <c r="V15" s="194" t="s">
        <v>314</v>
      </c>
      <c r="W15" s="174" t="s">
        <v>315</v>
      </c>
      <c r="X15" s="174" t="s">
        <v>313</v>
      </c>
      <c r="Z15" s="174" t="s">
        <v>206</v>
      </c>
      <c r="AA15" s="225" t="s">
        <v>336</v>
      </c>
      <c r="AB15" s="225" t="s">
        <v>330</v>
      </c>
      <c r="AC15" s="225" t="s">
        <v>332</v>
      </c>
      <c r="AD15" s="225" t="s">
        <v>333</v>
      </c>
      <c r="AE15" s="224" t="s">
        <v>267</v>
      </c>
      <c r="AF15" s="193" t="s">
        <v>211</v>
      </c>
      <c r="AG15" s="193" t="s">
        <v>273</v>
      </c>
      <c r="AH15" s="193" t="s">
        <v>329</v>
      </c>
      <c r="AI15" s="198" t="s">
        <v>274</v>
      </c>
      <c r="AJ15" s="194" t="s">
        <v>314</v>
      </c>
      <c r="AK15" s="174" t="s">
        <v>293</v>
      </c>
      <c r="AL15" s="174" t="s">
        <v>294</v>
      </c>
    </row>
    <row r="16" spans="1:38" x14ac:dyDescent="0.35">
      <c r="A16" s="149"/>
      <c r="B16" s="175" t="s">
        <v>213</v>
      </c>
      <c r="C16" s="176">
        <f t="shared" ref="C16:H18" si="0">($E$4*$E$7*C37)^2/19.62</f>
        <v>0.16085383537206935</v>
      </c>
      <c r="D16" s="176">
        <f t="shared" si="0"/>
        <v>0.14656310206422019</v>
      </c>
      <c r="E16" s="176">
        <f t="shared" si="0"/>
        <v>0.13293705402650355</v>
      </c>
      <c r="F16" s="176">
        <f t="shared" si="0"/>
        <v>0.10767901376146789</v>
      </c>
      <c r="G16" s="176">
        <f t="shared" si="0"/>
        <v>9.6047021534148819E-2</v>
      </c>
      <c r="H16" s="176">
        <f t="shared" si="0"/>
        <v>8.5079714576962284E-2</v>
      </c>
      <c r="I16" s="149"/>
      <c r="J16" s="183" t="s">
        <v>214</v>
      </c>
      <c r="K16" s="173">
        <v>0.5</v>
      </c>
      <c r="L16" s="151">
        <v>0.5</v>
      </c>
      <c r="M16" s="173">
        <v>0.19</v>
      </c>
      <c r="N16" s="173">
        <v>0.1</v>
      </c>
      <c r="O16" s="173">
        <f t="shared" ref="O16:O35" si="1">K16*M16</f>
        <v>9.5000000000000001E-2</v>
      </c>
      <c r="P16" s="173">
        <f t="shared" ref="P16:P35" si="2">K16*N16</f>
        <v>0.05</v>
      </c>
      <c r="Q16" s="178">
        <f t="shared" ref="Q16:Q35" si="3">3*L16/$E$5</f>
        <v>1.5</v>
      </c>
      <c r="R16" s="178">
        <f t="shared" ref="R16:R35" si="4">L16*3*N16/$E$5</f>
        <v>0.15000000000000002</v>
      </c>
      <c r="S16" s="178">
        <f t="shared" ref="S16:S35" si="5">L16*2.5*M16/E$5</f>
        <v>0.23749999999999999</v>
      </c>
      <c r="T16" s="178">
        <f t="shared" ref="T16:T35" si="6">L16*M16*2/E$5</f>
        <v>0.19</v>
      </c>
      <c r="U16" s="178">
        <f t="shared" ref="U16:U35" si="7">L16*M16*4/E$5</f>
        <v>0.38</v>
      </c>
      <c r="V16" s="178">
        <f t="shared" ref="V16:V35" si="8">L16*4.5*N16/$E$5</f>
        <v>0.22500000000000001</v>
      </c>
      <c r="W16" s="178">
        <f>L16*N16*6/$E$5/E$7</f>
        <v>0.31578947368421056</v>
      </c>
      <c r="X16" s="178">
        <f>L16*N16*9/$E$5/E$7</f>
        <v>0.47368421052631582</v>
      </c>
      <c r="Z16" s="177" t="s">
        <v>214</v>
      </c>
      <c r="AA16" s="173">
        <v>0.5</v>
      </c>
      <c r="AB16" s="215">
        <v>0.5</v>
      </c>
      <c r="AC16" s="216">
        <f>(0.121*(AB16*100)^1.1378)/100</f>
        <v>0.10372261113349318</v>
      </c>
      <c r="AD16" s="216">
        <f>(0.0501*(AB16*100)^1.2094)/100</f>
        <v>5.6829266304345601E-2</v>
      </c>
      <c r="AE16" s="178">
        <f>3*AB16/$E$5</f>
        <v>1.5</v>
      </c>
      <c r="AF16" s="178">
        <f>3*AD16/$E$5</f>
        <v>0.17048779891303681</v>
      </c>
      <c r="AG16" s="178">
        <f>2.5*AC16/$E$5</f>
        <v>0.25930652783373298</v>
      </c>
      <c r="AH16" s="178">
        <f>AC16*2/$E$5</f>
        <v>0.20744522226698636</v>
      </c>
      <c r="AI16" s="178">
        <f>AC16*4/$E$5</f>
        <v>0.41489044453397272</v>
      </c>
      <c r="AJ16" s="178">
        <f>4.5*AD16/$E$5</f>
        <v>0.25573169836955523</v>
      </c>
      <c r="AK16" s="178">
        <f>AD16*6/E$5/E$7</f>
        <v>0.35892168192218277</v>
      </c>
      <c r="AL16" s="178">
        <f>AD16*9/E$5/E$7</f>
        <v>0.53838252288327415</v>
      </c>
    </row>
    <row r="17" spans="1:38" x14ac:dyDescent="0.35">
      <c r="A17" s="149"/>
      <c r="B17" s="175" t="s">
        <v>215</v>
      </c>
      <c r="C17" s="176">
        <f t="shared" si="0"/>
        <v>0.14656310206422019</v>
      </c>
      <c r="D17" s="176">
        <f t="shared" si="0"/>
        <v>0.13293705402650355</v>
      </c>
      <c r="E17" s="176">
        <f t="shared" si="0"/>
        <v>0.11997569125891945</v>
      </c>
      <c r="F17" s="176">
        <f t="shared" si="0"/>
        <v>9.6047021534148819E-2</v>
      </c>
      <c r="G17" s="176">
        <f t="shared" si="0"/>
        <v>8.5079714576962284E-2</v>
      </c>
      <c r="H17" s="176">
        <f t="shared" si="0"/>
        <v>7.4777092889908248E-2</v>
      </c>
      <c r="I17" s="149"/>
      <c r="J17" s="183" t="s">
        <v>216</v>
      </c>
      <c r="K17" s="173">
        <v>0.5</v>
      </c>
      <c r="L17" s="151">
        <v>0.5</v>
      </c>
      <c r="M17" s="173">
        <v>0.19</v>
      </c>
      <c r="N17" s="173">
        <v>0.1</v>
      </c>
      <c r="O17" s="173">
        <f t="shared" si="1"/>
        <v>9.5000000000000001E-2</v>
      </c>
      <c r="P17" s="173">
        <f t="shared" si="2"/>
        <v>0.05</v>
      </c>
      <c r="Q17" s="178">
        <f t="shared" si="3"/>
        <v>1.5</v>
      </c>
      <c r="R17" s="178">
        <f t="shared" si="4"/>
        <v>0.15000000000000002</v>
      </c>
      <c r="S17" s="178">
        <f t="shared" si="5"/>
        <v>0.23749999999999999</v>
      </c>
      <c r="T17" s="178">
        <f t="shared" si="6"/>
        <v>0.19</v>
      </c>
      <c r="U17" s="178">
        <f t="shared" si="7"/>
        <v>0.38</v>
      </c>
      <c r="V17" s="178">
        <f t="shared" si="8"/>
        <v>0.22500000000000001</v>
      </c>
      <c r="W17" s="178">
        <f t="shared" ref="W17:W35" si="9">L17*N17*6/$E$5/E$7</f>
        <v>0.31578947368421056</v>
      </c>
      <c r="X17" s="178">
        <f t="shared" ref="X17:X35" si="10">L17*N17*9/$E$5/E$7</f>
        <v>0.47368421052631582</v>
      </c>
      <c r="Z17" s="177" t="s">
        <v>216</v>
      </c>
      <c r="AA17" s="173">
        <v>0.5</v>
      </c>
      <c r="AB17" s="215">
        <v>0.5</v>
      </c>
      <c r="AC17" s="217">
        <f>0.19</f>
        <v>0.19</v>
      </c>
      <c r="AD17" s="217">
        <f>0.1</f>
        <v>0.1</v>
      </c>
      <c r="AE17" s="178">
        <f>3*AB17/$E$5</f>
        <v>1.5</v>
      </c>
      <c r="AF17" s="178">
        <f>L17*3*AD17/$E$5</f>
        <v>0.15000000000000002</v>
      </c>
      <c r="AG17" s="178">
        <f>AB17*2.5*AC17/$E$5</f>
        <v>0.23749999999999999</v>
      </c>
      <c r="AH17" s="178">
        <f>AB17*AC17*2/$E$5</f>
        <v>0.19</v>
      </c>
      <c r="AI17" s="178">
        <f>AB17*AC17*4/$E$5</f>
        <v>0.38</v>
      </c>
      <c r="AJ17" s="178">
        <f>AB17*4.5*AD17/$E$5</f>
        <v>0.22500000000000001</v>
      </c>
      <c r="AK17" s="178">
        <f t="shared" ref="AK17:AK35" si="11">AD17*6/E$5/E$7</f>
        <v>0.63157894736842113</v>
      </c>
      <c r="AL17" s="178">
        <f t="shared" ref="AL17:AL35" si="12">AD17*9/E$5/E$7</f>
        <v>0.94736842105263164</v>
      </c>
    </row>
    <row r="18" spans="1:38" x14ac:dyDescent="0.35">
      <c r="A18" s="149"/>
      <c r="B18" s="175" t="s">
        <v>217</v>
      </c>
      <c r="C18" s="176">
        <f t="shared" si="0"/>
        <v>0.13293705402650355</v>
      </c>
      <c r="D18" s="176">
        <f t="shared" si="0"/>
        <v>0.11997569125891945</v>
      </c>
      <c r="E18" s="176">
        <f t="shared" si="0"/>
        <v>0.10767901376146789</v>
      </c>
      <c r="F18" s="176">
        <f t="shared" si="0"/>
        <v>8.5079714576962284E-2</v>
      </c>
      <c r="G18" s="176">
        <f t="shared" si="0"/>
        <v>7.4777092889908248E-2</v>
      </c>
      <c r="H18" s="176">
        <f t="shared" si="0"/>
        <v>6.5139156472986723E-2</v>
      </c>
      <c r="I18" s="149"/>
      <c r="J18" s="183" t="s">
        <v>218</v>
      </c>
      <c r="K18" s="179">
        <v>0.6</v>
      </c>
      <c r="L18" s="151">
        <v>0.5</v>
      </c>
      <c r="M18" s="179">
        <v>0.26</v>
      </c>
      <c r="N18" s="179">
        <v>0.17</v>
      </c>
      <c r="O18" s="173">
        <f t="shared" si="1"/>
        <v>0.156</v>
      </c>
      <c r="P18" s="173">
        <f t="shared" si="2"/>
        <v>0.10200000000000001</v>
      </c>
      <c r="Q18" s="178">
        <f t="shared" si="3"/>
        <v>1.5</v>
      </c>
      <c r="R18" s="178">
        <f t="shared" si="4"/>
        <v>0.255</v>
      </c>
      <c r="S18" s="178">
        <f t="shared" si="5"/>
        <v>0.32500000000000001</v>
      </c>
      <c r="T18" s="178">
        <f t="shared" si="6"/>
        <v>0.26</v>
      </c>
      <c r="U18" s="178">
        <f t="shared" si="7"/>
        <v>0.52</v>
      </c>
      <c r="V18" s="178">
        <f t="shared" si="8"/>
        <v>0.38250000000000001</v>
      </c>
      <c r="W18" s="178">
        <f t="shared" si="9"/>
        <v>0.5368421052631579</v>
      </c>
      <c r="X18" s="178">
        <f t="shared" si="10"/>
        <v>0.8052631578947369</v>
      </c>
      <c r="Z18" s="177" t="s">
        <v>218</v>
      </c>
      <c r="AA18" s="179">
        <v>0.6</v>
      </c>
      <c r="AB18" s="215">
        <v>0.5</v>
      </c>
      <c r="AC18" s="216">
        <f>(0.1109*(AB18*100)^1.1914)/100</f>
        <v>0.11724232151480839</v>
      </c>
      <c r="AD18" s="218">
        <f>(0.0547*(AB18*100)^1.2429)/100</f>
        <v>7.0735453906224627E-2</v>
      </c>
      <c r="AE18" s="178">
        <f>3*AB18/$E$5</f>
        <v>1.5</v>
      </c>
      <c r="AF18" s="178">
        <f>3*AD18/$E$5</f>
        <v>0.21220636171867388</v>
      </c>
      <c r="AG18" s="178">
        <f>2.5*AC18/$E$5</f>
        <v>0.29310580378702095</v>
      </c>
      <c r="AH18" s="178">
        <f>AC18*2/$E$5</f>
        <v>0.23448464302961677</v>
      </c>
      <c r="AI18" s="178">
        <f>AC18*4/$E$5</f>
        <v>0.46896928605923355</v>
      </c>
      <c r="AJ18" s="178">
        <f>4.5*AD18/$E$5</f>
        <v>0.31830954257801081</v>
      </c>
      <c r="AK18" s="178">
        <f t="shared" si="11"/>
        <v>0.44675023519720819</v>
      </c>
      <c r="AL18" s="178">
        <f t="shared" si="12"/>
        <v>0.6701253527958122</v>
      </c>
    </row>
    <row r="19" spans="1:38" x14ac:dyDescent="0.35">
      <c r="A19" s="149"/>
      <c r="B19" s="175" t="s">
        <v>219</v>
      </c>
      <c r="C19" s="176">
        <f>($E$4*$E$7*C40)^2/19.62</f>
        <v>0.11997569125891945</v>
      </c>
      <c r="D19" s="176">
        <f>($E$4*$E$7*D40)^2/19.62</f>
        <v>0.10767901376146789</v>
      </c>
      <c r="E19" s="176">
        <f>($E$4*$E$7*E40)^2/19.62</f>
        <v>9.6047021534148819E-2</v>
      </c>
      <c r="F19" s="268" t="s">
        <v>220</v>
      </c>
      <c r="G19" s="268"/>
      <c r="H19" s="268"/>
      <c r="I19" s="149"/>
      <c r="J19" s="183" t="s">
        <v>221</v>
      </c>
      <c r="K19" s="179">
        <v>1</v>
      </c>
      <c r="L19" s="151">
        <v>1</v>
      </c>
      <c r="M19" s="179">
        <v>0.17</v>
      </c>
      <c r="N19" s="179">
        <v>0.1</v>
      </c>
      <c r="O19" s="173">
        <f t="shared" si="1"/>
        <v>0.17</v>
      </c>
      <c r="P19" s="173">
        <f t="shared" si="2"/>
        <v>0.1</v>
      </c>
      <c r="Q19" s="178">
        <f t="shared" si="3"/>
        <v>3</v>
      </c>
      <c r="R19" s="178">
        <f t="shared" si="4"/>
        <v>0.30000000000000004</v>
      </c>
      <c r="S19" s="178">
        <f t="shared" si="5"/>
        <v>0.42500000000000004</v>
      </c>
      <c r="T19" s="178">
        <f t="shared" si="6"/>
        <v>0.34</v>
      </c>
      <c r="U19" s="178">
        <f t="shared" si="7"/>
        <v>0.68</v>
      </c>
      <c r="V19" s="178">
        <f t="shared" si="8"/>
        <v>0.45</v>
      </c>
      <c r="W19" s="178">
        <f t="shared" si="9"/>
        <v>0.63157894736842113</v>
      </c>
      <c r="X19" s="178">
        <f t="shared" si="10"/>
        <v>0.94736842105263164</v>
      </c>
      <c r="Z19" s="177" t="s">
        <v>221</v>
      </c>
      <c r="AA19" s="179">
        <v>1</v>
      </c>
      <c r="AB19" s="151">
        <v>0.8</v>
      </c>
      <c r="AC19" s="216">
        <f>(0.1241*(AB19*100)^1.077)/100</f>
        <v>0.13912324455555017</v>
      </c>
      <c r="AD19" s="216">
        <f>(0.0672*(AB19*100)^1.0918)/100</f>
        <v>8.038276128183762E-2</v>
      </c>
      <c r="AE19" s="178">
        <f t="shared" ref="AE19:AE31" si="13">3*AB19/$E$5</f>
        <v>2.4000000000000004</v>
      </c>
      <c r="AF19" s="178">
        <f t="shared" ref="AF19:AF31" si="14">3*AD19/$E$5</f>
        <v>0.24114828384551285</v>
      </c>
      <c r="AG19" s="178">
        <f t="shared" ref="AG19:AG31" si="15">2.5*AC19/$E$5</f>
        <v>0.34780811138887541</v>
      </c>
      <c r="AH19" s="178">
        <f t="shared" ref="AH19:AH31" si="16">AC19*2/$E$5</f>
        <v>0.27824648911110034</v>
      </c>
      <c r="AI19" s="178">
        <f t="shared" ref="AI19:AI31" si="17">AC19*4/$E$5</f>
        <v>0.55649297822220067</v>
      </c>
      <c r="AJ19" s="178">
        <f t="shared" ref="AJ19:AJ31" si="18">4.5*AD19/$E$5</f>
        <v>0.3617224257682693</v>
      </c>
      <c r="AK19" s="178">
        <f t="shared" si="11"/>
        <v>0.50768059756950079</v>
      </c>
      <c r="AL19" s="178">
        <f t="shared" si="12"/>
        <v>0.76152089635425113</v>
      </c>
    </row>
    <row r="20" spans="1:38" x14ac:dyDescent="0.35">
      <c r="A20" s="149"/>
      <c r="B20" s="203" t="s">
        <v>301</v>
      </c>
      <c r="C20" s="149"/>
      <c r="D20" s="149"/>
      <c r="E20" s="149"/>
      <c r="F20" s="149"/>
      <c r="G20" s="149"/>
      <c r="H20" s="149"/>
      <c r="I20" s="149"/>
      <c r="J20" s="183" t="s">
        <v>222</v>
      </c>
      <c r="K20" s="179">
        <v>0.8</v>
      </c>
      <c r="L20" s="151">
        <v>0.8</v>
      </c>
      <c r="M20" s="179">
        <v>0.21</v>
      </c>
      <c r="N20" s="179">
        <v>0.11</v>
      </c>
      <c r="O20" s="173">
        <f t="shared" si="1"/>
        <v>0.16800000000000001</v>
      </c>
      <c r="P20" s="173">
        <f t="shared" si="2"/>
        <v>8.8000000000000009E-2</v>
      </c>
      <c r="Q20" s="178">
        <f t="shared" si="3"/>
        <v>2.4000000000000004</v>
      </c>
      <c r="R20" s="178">
        <f t="shared" si="4"/>
        <v>0.26400000000000007</v>
      </c>
      <c r="S20" s="178">
        <f t="shared" si="5"/>
        <v>0.42</v>
      </c>
      <c r="T20" s="178">
        <f t="shared" si="6"/>
        <v>0.33600000000000002</v>
      </c>
      <c r="U20" s="178">
        <f t="shared" si="7"/>
        <v>0.67200000000000004</v>
      </c>
      <c r="V20" s="178">
        <f t="shared" si="8"/>
        <v>0.39600000000000002</v>
      </c>
      <c r="W20" s="178">
        <f t="shared" si="9"/>
        <v>0.55578947368421061</v>
      </c>
      <c r="X20" s="178">
        <f t="shared" si="10"/>
        <v>0.83368421052631592</v>
      </c>
      <c r="Z20" s="180" t="s">
        <v>222</v>
      </c>
      <c r="AA20" s="179">
        <v>0.8</v>
      </c>
      <c r="AB20" s="151">
        <v>0.67</v>
      </c>
      <c r="AC20" s="216">
        <f>(0.1397*(AB20*100)^1.0955)/100</f>
        <v>0.13984963991044039</v>
      </c>
      <c r="AD20" s="216">
        <f>(0.0644*(AB20*100)^1.1459)/100</f>
        <v>7.9686542507015762E-2</v>
      </c>
      <c r="AE20" s="178">
        <f t="shared" si="13"/>
        <v>2.0100000000000002</v>
      </c>
      <c r="AF20" s="178">
        <f t="shared" si="14"/>
        <v>0.23905962752104729</v>
      </c>
      <c r="AG20" s="178">
        <f t="shared" si="15"/>
        <v>0.34962409977610098</v>
      </c>
      <c r="AH20" s="178">
        <f t="shared" si="16"/>
        <v>0.27969927982088078</v>
      </c>
      <c r="AI20" s="178">
        <f t="shared" si="17"/>
        <v>0.55939855964176155</v>
      </c>
      <c r="AJ20" s="178">
        <f t="shared" si="18"/>
        <v>0.35858944128157094</v>
      </c>
      <c r="AK20" s="178">
        <f t="shared" si="11"/>
        <v>0.50328342636009959</v>
      </c>
      <c r="AL20" s="178">
        <f t="shared" si="12"/>
        <v>0.75492513954014939</v>
      </c>
    </row>
    <row r="21" spans="1:38" x14ac:dyDescent="0.35">
      <c r="A21" s="149"/>
      <c r="B21" s="203" t="s">
        <v>268</v>
      </c>
      <c r="I21" s="149"/>
      <c r="J21" s="183" t="s">
        <v>224</v>
      </c>
      <c r="K21" s="179">
        <v>0.6</v>
      </c>
      <c r="L21" s="151">
        <v>0.6</v>
      </c>
      <c r="M21" s="179">
        <v>0.18</v>
      </c>
      <c r="N21" s="179">
        <v>0.18</v>
      </c>
      <c r="O21" s="173">
        <f t="shared" si="1"/>
        <v>0.108</v>
      </c>
      <c r="P21" s="173">
        <f t="shared" si="2"/>
        <v>0.108</v>
      </c>
      <c r="Q21" s="178">
        <f t="shared" si="3"/>
        <v>1.7999999999999998</v>
      </c>
      <c r="R21" s="178">
        <f t="shared" si="4"/>
        <v>0.32399999999999995</v>
      </c>
      <c r="S21" s="178">
        <f t="shared" si="5"/>
        <v>0.27</v>
      </c>
      <c r="T21" s="178">
        <f t="shared" si="6"/>
        <v>0.216</v>
      </c>
      <c r="U21" s="178">
        <f t="shared" si="7"/>
        <v>0.432</v>
      </c>
      <c r="V21" s="178">
        <f t="shared" si="8"/>
        <v>0.48599999999999993</v>
      </c>
      <c r="W21" s="178">
        <f t="shared" si="9"/>
        <v>0.68210526315789477</v>
      </c>
      <c r="X21" s="178">
        <f t="shared" si="10"/>
        <v>1.023157894736842</v>
      </c>
      <c r="Z21" s="180" t="s">
        <v>224</v>
      </c>
      <c r="AA21" s="179">
        <v>0.6</v>
      </c>
      <c r="AB21" s="215">
        <v>0.51</v>
      </c>
      <c r="AC21" s="216">
        <f>(0.0556*(AB21*100)^1.2696)/100</f>
        <v>8.1847588305481722E-2</v>
      </c>
      <c r="AD21" s="216">
        <f>(0.0368*(AB21*100)^1.3679)/100</f>
        <v>7.9732074256828531E-2</v>
      </c>
      <c r="AE21" s="178">
        <f t="shared" si="13"/>
        <v>1.53</v>
      </c>
      <c r="AF21" s="178">
        <f t="shared" si="14"/>
        <v>0.23919622277048558</v>
      </c>
      <c r="AG21" s="178">
        <f t="shared" si="15"/>
        <v>0.20461897076370431</v>
      </c>
      <c r="AH21" s="178">
        <f t="shared" si="16"/>
        <v>0.16369517661096344</v>
      </c>
      <c r="AI21" s="178">
        <f t="shared" si="17"/>
        <v>0.32739035322192689</v>
      </c>
      <c r="AJ21" s="178">
        <f t="shared" si="18"/>
        <v>0.35879433415572837</v>
      </c>
      <c r="AK21" s="178">
        <f t="shared" si="11"/>
        <v>0.50357099530628546</v>
      </c>
      <c r="AL21" s="178">
        <f t="shared" si="12"/>
        <v>0.75535649295942819</v>
      </c>
    </row>
    <row r="22" spans="1:38" x14ac:dyDescent="0.35">
      <c r="A22" s="149"/>
      <c r="B22" s="203" t="s">
        <v>269</v>
      </c>
      <c r="I22" s="149"/>
      <c r="J22" s="183" t="s">
        <v>225</v>
      </c>
      <c r="K22" s="179">
        <v>0.4</v>
      </c>
      <c r="L22" s="151">
        <v>0.4</v>
      </c>
      <c r="M22" s="179">
        <v>0.32</v>
      </c>
      <c r="N22" s="179">
        <v>0.15</v>
      </c>
      <c r="O22" s="173">
        <f t="shared" si="1"/>
        <v>0.128</v>
      </c>
      <c r="P22" s="173">
        <f t="shared" si="2"/>
        <v>0.06</v>
      </c>
      <c r="Q22" s="178">
        <f t="shared" si="3"/>
        <v>1.2000000000000002</v>
      </c>
      <c r="R22" s="178">
        <f t="shared" si="4"/>
        <v>0.18000000000000002</v>
      </c>
      <c r="S22" s="178">
        <f t="shared" si="5"/>
        <v>0.32</v>
      </c>
      <c r="T22" s="178">
        <f t="shared" si="6"/>
        <v>0.25600000000000001</v>
      </c>
      <c r="U22" s="178">
        <f t="shared" si="7"/>
        <v>0.51200000000000001</v>
      </c>
      <c r="V22" s="178">
        <f t="shared" si="8"/>
        <v>0.27</v>
      </c>
      <c r="W22" s="178">
        <f t="shared" si="9"/>
        <v>0.37894736842105264</v>
      </c>
      <c r="X22" s="178">
        <f t="shared" si="10"/>
        <v>0.56842105263157905</v>
      </c>
      <c r="Z22" s="180" t="s">
        <v>225</v>
      </c>
      <c r="AA22" s="179">
        <v>0.4</v>
      </c>
      <c r="AB22" s="151">
        <v>0.4</v>
      </c>
      <c r="AC22" s="216">
        <f>(0.133*(AB22*100)^1.2185)/100</f>
        <v>0.11911370690127426</v>
      </c>
      <c r="AD22" s="216">
        <f>(0.0562*(AB22*100)^1.247)/100</f>
        <v>5.5912012525229003E-2</v>
      </c>
      <c r="AE22" s="178">
        <f t="shared" si="13"/>
        <v>1.2000000000000002</v>
      </c>
      <c r="AF22" s="178">
        <f t="shared" si="14"/>
        <v>0.167736037575687</v>
      </c>
      <c r="AG22" s="178">
        <f t="shared" si="15"/>
        <v>0.29778426725318563</v>
      </c>
      <c r="AH22" s="178">
        <f t="shared" si="16"/>
        <v>0.23822741380254853</v>
      </c>
      <c r="AI22" s="178">
        <f t="shared" si="17"/>
        <v>0.47645482760509705</v>
      </c>
      <c r="AJ22" s="178">
        <f t="shared" si="18"/>
        <v>0.2516040563635305</v>
      </c>
      <c r="AK22" s="178">
        <f t="shared" si="11"/>
        <v>0.35312850015934105</v>
      </c>
      <c r="AL22" s="178">
        <f t="shared" si="12"/>
        <v>0.52969275023901163</v>
      </c>
    </row>
    <row r="23" spans="1:38" x14ac:dyDescent="0.35">
      <c r="A23" s="149"/>
      <c r="I23" s="149"/>
      <c r="J23" s="183" t="s">
        <v>226</v>
      </c>
      <c r="K23" s="179">
        <v>0.7</v>
      </c>
      <c r="L23" s="151">
        <v>0.7</v>
      </c>
      <c r="M23" s="179">
        <v>0.19</v>
      </c>
      <c r="N23" s="179">
        <v>0.12</v>
      </c>
      <c r="O23" s="173">
        <f t="shared" si="1"/>
        <v>0.13299999999999998</v>
      </c>
      <c r="P23" s="173">
        <f t="shared" si="2"/>
        <v>8.3999999999999991E-2</v>
      </c>
      <c r="Q23" s="178">
        <f t="shared" si="3"/>
        <v>2.0999999999999996</v>
      </c>
      <c r="R23" s="178">
        <f t="shared" si="4"/>
        <v>0.25199999999999995</v>
      </c>
      <c r="S23" s="178">
        <f t="shared" si="5"/>
        <v>0.33250000000000002</v>
      </c>
      <c r="T23" s="178">
        <f t="shared" si="6"/>
        <v>0.26599999999999996</v>
      </c>
      <c r="U23" s="178">
        <f t="shared" si="7"/>
        <v>0.53199999999999992</v>
      </c>
      <c r="V23" s="178">
        <f t="shared" si="8"/>
        <v>0.378</v>
      </c>
      <c r="W23" s="178">
        <f t="shared" si="9"/>
        <v>0.53052631578947373</v>
      </c>
      <c r="X23" s="178">
        <f t="shared" si="10"/>
        <v>0.79578947368421049</v>
      </c>
      <c r="Z23" s="180" t="s">
        <v>226</v>
      </c>
      <c r="AA23" s="179">
        <v>0.7</v>
      </c>
      <c r="AB23" s="215">
        <v>0.65500000000000003</v>
      </c>
      <c r="AC23" s="219">
        <f>(0.1103*(AB23*100)^1.1313)/100</f>
        <v>0.12510921385027096</v>
      </c>
      <c r="AD23" s="219">
        <f>(0.0727*(AB23*100)^1.1237)/100</f>
        <v>7.988123298045624E-2</v>
      </c>
      <c r="AE23" s="178">
        <f t="shared" si="13"/>
        <v>1.9650000000000001</v>
      </c>
      <c r="AF23" s="178">
        <f t="shared" si="14"/>
        <v>0.23964369894136872</v>
      </c>
      <c r="AG23" s="178">
        <f t="shared" si="15"/>
        <v>0.3127730346256774</v>
      </c>
      <c r="AH23" s="178">
        <f t="shared" si="16"/>
        <v>0.25021842770054192</v>
      </c>
      <c r="AI23" s="178">
        <f t="shared" si="17"/>
        <v>0.50043685540108385</v>
      </c>
      <c r="AJ23" s="178">
        <f t="shared" si="18"/>
        <v>0.35946554841205308</v>
      </c>
      <c r="AK23" s="178">
        <f t="shared" si="11"/>
        <v>0.50451305040288152</v>
      </c>
      <c r="AL23" s="178">
        <f t="shared" si="12"/>
        <v>0.75676957560432234</v>
      </c>
    </row>
    <row r="24" spans="1:38" ht="15.5" x14ac:dyDescent="0.35">
      <c r="A24" s="149"/>
      <c r="B24" s="148" t="s">
        <v>223</v>
      </c>
      <c r="C24" s="149"/>
      <c r="D24" s="149"/>
      <c r="E24" s="149"/>
      <c r="F24" s="149"/>
      <c r="G24" s="149"/>
      <c r="I24" s="149"/>
      <c r="J24" s="183" t="s">
        <v>228</v>
      </c>
      <c r="K24" s="179">
        <v>0.6</v>
      </c>
      <c r="L24" s="151">
        <v>0.6</v>
      </c>
      <c r="M24" s="179">
        <v>0.26</v>
      </c>
      <c r="N24" s="179">
        <v>0.16</v>
      </c>
      <c r="O24" s="173">
        <f t="shared" si="1"/>
        <v>0.156</v>
      </c>
      <c r="P24" s="173">
        <f t="shared" si="2"/>
        <v>9.6000000000000002E-2</v>
      </c>
      <c r="Q24" s="178">
        <f t="shared" si="3"/>
        <v>1.7999999999999998</v>
      </c>
      <c r="R24" s="178">
        <f t="shared" si="4"/>
        <v>0.28799999999999998</v>
      </c>
      <c r="S24" s="178">
        <f t="shared" si="5"/>
        <v>0.39</v>
      </c>
      <c r="T24" s="178">
        <f t="shared" si="6"/>
        <v>0.312</v>
      </c>
      <c r="U24" s="178">
        <f t="shared" si="7"/>
        <v>0.624</v>
      </c>
      <c r="V24" s="178">
        <f t="shared" si="8"/>
        <v>0.43199999999999994</v>
      </c>
      <c r="W24" s="178">
        <f t="shared" si="9"/>
        <v>0.60631578947368436</v>
      </c>
      <c r="X24" s="178">
        <f t="shared" si="10"/>
        <v>0.90947368421052632</v>
      </c>
      <c r="Z24" s="180" t="s">
        <v>228</v>
      </c>
      <c r="AA24" s="179">
        <v>0.6</v>
      </c>
      <c r="AB24" s="215">
        <v>0.6</v>
      </c>
      <c r="AC24" s="219">
        <f>(0.099*(AB24*100)^1.1964)/100</f>
        <v>0.13274413765938692</v>
      </c>
      <c r="AD24" s="219">
        <f>(0.0506*(AB24*100)^1.215)/100</f>
        <v>7.3215711316317031E-2</v>
      </c>
      <c r="AE24" s="178">
        <f t="shared" si="13"/>
        <v>1.7999999999999998</v>
      </c>
      <c r="AF24" s="178">
        <f t="shared" si="14"/>
        <v>0.21964713394895108</v>
      </c>
      <c r="AG24" s="178">
        <f t="shared" si="15"/>
        <v>0.33186034414846732</v>
      </c>
      <c r="AH24" s="178">
        <f t="shared" si="16"/>
        <v>0.26548827531877384</v>
      </c>
      <c r="AI24" s="178">
        <f t="shared" si="17"/>
        <v>0.53097655063754767</v>
      </c>
      <c r="AJ24" s="178">
        <f t="shared" si="18"/>
        <v>0.32947070092342662</v>
      </c>
      <c r="AK24" s="178">
        <f t="shared" si="11"/>
        <v>0.46241501883989705</v>
      </c>
      <c r="AL24" s="178">
        <f t="shared" si="12"/>
        <v>0.69362252825984549</v>
      </c>
    </row>
    <row r="25" spans="1:38" ht="28" x14ac:dyDescent="0.35">
      <c r="A25" s="149"/>
      <c r="B25" s="174" t="s">
        <v>200</v>
      </c>
      <c r="C25" s="174" t="s">
        <v>201</v>
      </c>
      <c r="D25" s="174" t="s">
        <v>202</v>
      </c>
      <c r="E25" s="174" t="s">
        <v>203</v>
      </c>
      <c r="F25" s="174" t="s">
        <v>204</v>
      </c>
      <c r="G25" s="174" t="s">
        <v>205</v>
      </c>
      <c r="H25" s="149"/>
      <c r="I25" s="149"/>
      <c r="J25" s="183" t="s">
        <v>230</v>
      </c>
      <c r="K25" s="179">
        <v>0.6</v>
      </c>
      <c r="L25" s="151">
        <v>0.6</v>
      </c>
      <c r="M25" s="179">
        <v>0.3</v>
      </c>
      <c r="N25" s="179">
        <v>0.15</v>
      </c>
      <c r="O25" s="173">
        <f t="shared" si="1"/>
        <v>0.18</v>
      </c>
      <c r="P25" s="173">
        <f t="shared" si="2"/>
        <v>0.09</v>
      </c>
      <c r="Q25" s="178">
        <f t="shared" si="3"/>
        <v>1.7999999999999998</v>
      </c>
      <c r="R25" s="178">
        <f t="shared" si="4"/>
        <v>0.26999999999999996</v>
      </c>
      <c r="S25" s="178">
        <f t="shared" si="5"/>
        <v>0.44999999999999996</v>
      </c>
      <c r="T25" s="178">
        <f t="shared" si="6"/>
        <v>0.36</v>
      </c>
      <c r="U25" s="178">
        <f t="shared" si="7"/>
        <v>0.72</v>
      </c>
      <c r="V25" s="178">
        <f t="shared" si="8"/>
        <v>0.40499999999999997</v>
      </c>
      <c r="W25" s="178">
        <f t="shared" si="9"/>
        <v>0.56842105263157905</v>
      </c>
      <c r="X25" s="178">
        <f t="shared" si="10"/>
        <v>0.85263157894736841</v>
      </c>
      <c r="Z25" s="180" t="s">
        <v>230</v>
      </c>
      <c r="AA25" s="179">
        <v>0.6</v>
      </c>
      <c r="AB25" s="151">
        <v>0.6</v>
      </c>
      <c r="AC25" s="219">
        <f>(0.1298*(AB24*100)^1.1825)/100</f>
        <v>0.164413905620201</v>
      </c>
      <c r="AD25" s="219">
        <f>(0.0506*(AB25*100)^1.215)/100</f>
        <v>7.3215711316317031E-2</v>
      </c>
      <c r="AE25" s="178">
        <f t="shared" si="13"/>
        <v>1.7999999999999998</v>
      </c>
      <c r="AF25" s="178">
        <f t="shared" si="14"/>
        <v>0.21964713394895108</v>
      </c>
      <c r="AG25" s="178">
        <f t="shared" si="15"/>
        <v>0.41103476405050249</v>
      </c>
      <c r="AH25" s="178">
        <f t="shared" si="16"/>
        <v>0.328827811240402</v>
      </c>
      <c r="AI25" s="178">
        <f t="shared" si="17"/>
        <v>0.657655622480804</v>
      </c>
      <c r="AJ25" s="178">
        <f t="shared" si="18"/>
        <v>0.32947070092342662</v>
      </c>
      <c r="AK25" s="178">
        <f t="shared" si="11"/>
        <v>0.46241501883989705</v>
      </c>
      <c r="AL25" s="178">
        <f t="shared" si="12"/>
        <v>0.69362252825984549</v>
      </c>
    </row>
    <row r="26" spans="1:38" x14ac:dyDescent="0.35">
      <c r="A26" s="149"/>
      <c r="B26" s="181">
        <f t="shared" ref="B26:G26" si="19">$E$6*B45</f>
        <v>225</v>
      </c>
      <c r="C26" s="181">
        <f t="shared" si="19"/>
        <v>202.5</v>
      </c>
      <c r="D26" s="181">
        <f t="shared" si="19"/>
        <v>180</v>
      </c>
      <c r="E26" s="181">
        <f t="shared" si="19"/>
        <v>135</v>
      </c>
      <c r="F26" s="181">
        <f t="shared" si="19"/>
        <v>112.5</v>
      </c>
      <c r="G26" s="181">
        <f t="shared" si="19"/>
        <v>90</v>
      </c>
      <c r="H26" s="149"/>
      <c r="I26" s="149"/>
      <c r="J26" s="183" t="s">
        <v>204</v>
      </c>
      <c r="K26" s="179">
        <v>0.6</v>
      </c>
      <c r="L26" s="151">
        <v>0.6</v>
      </c>
      <c r="M26" s="179">
        <v>0.35</v>
      </c>
      <c r="N26" s="179">
        <v>0.1</v>
      </c>
      <c r="O26" s="173">
        <f t="shared" si="1"/>
        <v>0.21</v>
      </c>
      <c r="P26" s="173">
        <f t="shared" si="2"/>
        <v>0.06</v>
      </c>
      <c r="Q26" s="178">
        <f t="shared" si="3"/>
        <v>1.7999999999999998</v>
      </c>
      <c r="R26" s="178">
        <f t="shared" si="4"/>
        <v>0.18</v>
      </c>
      <c r="S26" s="178">
        <f t="shared" si="5"/>
        <v>0.52499999999999991</v>
      </c>
      <c r="T26" s="178">
        <f t="shared" si="6"/>
        <v>0.42</v>
      </c>
      <c r="U26" s="178">
        <f t="shared" si="7"/>
        <v>0.84</v>
      </c>
      <c r="V26" s="178">
        <f t="shared" si="8"/>
        <v>0.26999999999999996</v>
      </c>
      <c r="W26" s="178">
        <f t="shared" si="9"/>
        <v>0.37894736842105264</v>
      </c>
      <c r="X26" s="178">
        <f t="shared" si="10"/>
        <v>0.56842105263157905</v>
      </c>
      <c r="Z26" s="180" t="s">
        <v>204</v>
      </c>
      <c r="AA26" s="179">
        <v>0.6</v>
      </c>
      <c r="AB26" s="151">
        <v>0.6</v>
      </c>
      <c r="AC26" s="219">
        <f>(0.2101*(AB26*100)^1.1175)/100</f>
        <v>0.20394359696432357</v>
      </c>
      <c r="AD26" s="219">
        <f>(0.0731*(AB26*100)^1.0761)/100</f>
        <v>5.9894361222725116E-2</v>
      </c>
      <c r="AE26" s="178">
        <f t="shared" si="13"/>
        <v>1.7999999999999998</v>
      </c>
      <c r="AF26" s="178">
        <f t="shared" si="14"/>
        <v>0.17968308366817534</v>
      </c>
      <c r="AG26" s="178">
        <f t="shared" si="15"/>
        <v>0.5098589924108089</v>
      </c>
      <c r="AH26" s="178">
        <f t="shared" si="16"/>
        <v>0.40788719392864714</v>
      </c>
      <c r="AI26" s="178">
        <f t="shared" si="17"/>
        <v>0.81577438785729428</v>
      </c>
      <c r="AJ26" s="178">
        <f t="shared" si="18"/>
        <v>0.26952462550226303</v>
      </c>
      <c r="AK26" s="178">
        <f t="shared" si="11"/>
        <v>0.37828017614352705</v>
      </c>
      <c r="AL26" s="178">
        <f t="shared" si="12"/>
        <v>0.56742026421529057</v>
      </c>
    </row>
    <row r="27" spans="1:38" x14ac:dyDescent="0.35">
      <c r="A27" s="149"/>
      <c r="E27" s="269" t="s">
        <v>227</v>
      </c>
      <c r="F27" s="270"/>
      <c r="G27" s="271"/>
      <c r="H27" s="149"/>
      <c r="I27" s="149"/>
      <c r="J27" s="183" t="s">
        <v>231</v>
      </c>
      <c r="K27" s="179">
        <v>0.7</v>
      </c>
      <c r="L27" s="151">
        <v>0.7</v>
      </c>
      <c r="M27" s="179">
        <v>0.21</v>
      </c>
      <c r="N27" s="179">
        <v>0.11</v>
      </c>
      <c r="O27" s="173">
        <f t="shared" si="1"/>
        <v>0.14699999999999999</v>
      </c>
      <c r="P27" s="173">
        <f t="shared" si="2"/>
        <v>7.6999999999999999E-2</v>
      </c>
      <c r="Q27" s="178">
        <f t="shared" si="3"/>
        <v>2.0999999999999996</v>
      </c>
      <c r="R27" s="178">
        <f t="shared" si="4"/>
        <v>0.23099999999999996</v>
      </c>
      <c r="S27" s="178">
        <f t="shared" si="5"/>
        <v>0.36749999999999999</v>
      </c>
      <c r="T27" s="178">
        <f t="shared" si="6"/>
        <v>0.29399999999999998</v>
      </c>
      <c r="U27" s="178">
        <f t="shared" si="7"/>
        <v>0.58799999999999997</v>
      </c>
      <c r="V27" s="178">
        <f t="shared" si="8"/>
        <v>0.34649999999999997</v>
      </c>
      <c r="W27" s="178">
        <f t="shared" si="9"/>
        <v>0.4863157894736842</v>
      </c>
      <c r="X27" s="178">
        <f t="shared" si="10"/>
        <v>0.72947368421052627</v>
      </c>
      <c r="Z27" s="180" t="s">
        <v>231</v>
      </c>
      <c r="AA27" s="179">
        <v>0.7</v>
      </c>
      <c r="AB27" s="151">
        <v>0.7</v>
      </c>
      <c r="AC27" s="219">
        <f>(0.1183*(AB27*100)^1.136)/100</f>
        <v>0.14757613025728233</v>
      </c>
      <c r="AD27" s="219">
        <f>(0.0589*(AB27*100)^1.1364)/100</f>
        <v>7.3601168188434749E-2</v>
      </c>
      <c r="AE27" s="178">
        <f t="shared" si="13"/>
        <v>2.0999999999999996</v>
      </c>
      <c r="AF27" s="178">
        <f t="shared" si="14"/>
        <v>0.22080350456530423</v>
      </c>
      <c r="AG27" s="178">
        <f t="shared" si="15"/>
        <v>0.36894032564320584</v>
      </c>
      <c r="AH27" s="178">
        <f t="shared" si="16"/>
        <v>0.29515226051456467</v>
      </c>
      <c r="AI27" s="178">
        <f t="shared" si="17"/>
        <v>0.59030452102912934</v>
      </c>
      <c r="AJ27" s="178">
        <f t="shared" si="18"/>
        <v>0.33120525684795638</v>
      </c>
      <c r="AK27" s="178">
        <f t="shared" si="11"/>
        <v>0.46484948329537734</v>
      </c>
      <c r="AL27" s="178">
        <f t="shared" si="12"/>
        <v>0.69727422494306612</v>
      </c>
    </row>
    <row r="28" spans="1:38" ht="16" x14ac:dyDescent="0.45">
      <c r="A28" s="149"/>
      <c r="B28" s="149" t="s">
        <v>321</v>
      </c>
      <c r="C28" s="149"/>
      <c r="D28" s="149"/>
      <c r="E28" s="181">
        <f>IF(E26&gt;$E$6*E47,$E$6*E47,E26)</f>
        <v>90</v>
      </c>
      <c r="F28" s="181">
        <f>IF(F26&gt;$E$6*E47,$E$6*E47,F26)</f>
        <v>90</v>
      </c>
      <c r="G28" s="181">
        <f>IF(G26&gt;$E$6*E47,$E$6*E47,G26)</f>
        <v>90</v>
      </c>
      <c r="H28" s="149"/>
      <c r="I28" s="149"/>
      <c r="J28" s="183" t="s">
        <v>232</v>
      </c>
      <c r="K28" s="179">
        <v>0.4</v>
      </c>
      <c r="L28" s="151">
        <v>0.4</v>
      </c>
      <c r="M28" s="179">
        <v>0.31</v>
      </c>
      <c r="N28" s="179">
        <v>0.17</v>
      </c>
      <c r="O28" s="173">
        <f t="shared" si="1"/>
        <v>0.124</v>
      </c>
      <c r="P28" s="173">
        <f t="shared" si="2"/>
        <v>6.8000000000000005E-2</v>
      </c>
      <c r="Q28" s="178">
        <f t="shared" si="3"/>
        <v>1.2000000000000002</v>
      </c>
      <c r="R28" s="178">
        <f t="shared" si="4"/>
        <v>0.20400000000000004</v>
      </c>
      <c r="S28" s="178">
        <f t="shared" si="5"/>
        <v>0.31</v>
      </c>
      <c r="T28" s="178">
        <f t="shared" si="6"/>
        <v>0.248</v>
      </c>
      <c r="U28" s="178">
        <f t="shared" si="7"/>
        <v>0.496</v>
      </c>
      <c r="V28" s="178">
        <f t="shared" si="8"/>
        <v>0.30600000000000005</v>
      </c>
      <c r="W28" s="178">
        <f t="shared" si="9"/>
        <v>0.42947368421052634</v>
      </c>
      <c r="X28" s="178">
        <f t="shared" si="10"/>
        <v>0.64421052631578957</v>
      </c>
      <c r="Z28" s="180" t="s">
        <v>232</v>
      </c>
      <c r="AA28" s="179">
        <v>0.4</v>
      </c>
      <c r="AB28" s="151">
        <v>0.4</v>
      </c>
      <c r="AC28" s="219">
        <f>(0.1274*(AB28*100)^1.2197)/100</f>
        <v>0.11460458673355761</v>
      </c>
      <c r="AD28" s="219">
        <f>(0.0557*(AB28*100)^1.2822)/100</f>
        <v>6.309813400049831E-2</v>
      </c>
      <c r="AE28" s="178">
        <f t="shared" si="13"/>
        <v>1.2000000000000002</v>
      </c>
      <c r="AF28" s="178">
        <f t="shared" si="14"/>
        <v>0.18929440200149494</v>
      </c>
      <c r="AG28" s="178">
        <f t="shared" si="15"/>
        <v>0.28651146683389406</v>
      </c>
      <c r="AH28" s="178">
        <f t="shared" si="16"/>
        <v>0.22920917346711522</v>
      </c>
      <c r="AI28" s="178">
        <f t="shared" si="17"/>
        <v>0.45841834693423045</v>
      </c>
      <c r="AJ28" s="178">
        <f t="shared" si="18"/>
        <v>0.28394160300224242</v>
      </c>
      <c r="AK28" s="178">
        <f t="shared" si="11"/>
        <v>0.39851453052946306</v>
      </c>
      <c r="AL28" s="178">
        <f t="shared" si="12"/>
        <v>0.59777179579419459</v>
      </c>
    </row>
    <row r="29" spans="1:38" x14ac:dyDescent="0.35">
      <c r="A29" s="149"/>
      <c r="H29" s="149"/>
      <c r="I29" s="149"/>
      <c r="J29" s="183" t="s">
        <v>233</v>
      </c>
      <c r="K29" s="179">
        <v>1</v>
      </c>
      <c r="L29" s="151">
        <v>1</v>
      </c>
      <c r="M29" s="179">
        <v>0.14000000000000001</v>
      </c>
      <c r="N29" s="179">
        <v>0.1</v>
      </c>
      <c r="O29" s="173">
        <f t="shared" si="1"/>
        <v>0.14000000000000001</v>
      </c>
      <c r="P29" s="173">
        <f t="shared" si="2"/>
        <v>0.1</v>
      </c>
      <c r="Q29" s="178">
        <f t="shared" si="3"/>
        <v>3</v>
      </c>
      <c r="R29" s="178">
        <f t="shared" si="4"/>
        <v>0.30000000000000004</v>
      </c>
      <c r="S29" s="178">
        <f t="shared" si="5"/>
        <v>0.35000000000000003</v>
      </c>
      <c r="T29" s="178">
        <f t="shared" si="6"/>
        <v>0.28000000000000003</v>
      </c>
      <c r="U29" s="178">
        <f t="shared" si="7"/>
        <v>0.56000000000000005</v>
      </c>
      <c r="V29" s="178">
        <f t="shared" si="8"/>
        <v>0.45</v>
      </c>
      <c r="W29" s="178">
        <f t="shared" si="9"/>
        <v>0.63157894736842113</v>
      </c>
      <c r="X29" s="178">
        <f t="shared" si="10"/>
        <v>0.94736842105263164</v>
      </c>
      <c r="Z29" s="180" t="s">
        <v>233</v>
      </c>
      <c r="AA29" s="179">
        <v>1</v>
      </c>
      <c r="AB29" s="215">
        <v>0.73</v>
      </c>
      <c r="AC29" s="219">
        <f>(0.0523*(AB29*100)^1.2679)/100</f>
        <v>0.12050602003925866</v>
      </c>
      <c r="AD29" s="219">
        <f>(0.0472*(AB29*100)^1.1969)/100</f>
        <v>8.0196078062583331E-2</v>
      </c>
      <c r="AE29" s="178">
        <f t="shared" si="13"/>
        <v>2.19</v>
      </c>
      <c r="AF29" s="178">
        <f t="shared" si="14"/>
        <v>0.24058823418774999</v>
      </c>
      <c r="AG29" s="178">
        <f t="shared" si="15"/>
        <v>0.30126505009814664</v>
      </c>
      <c r="AH29" s="178">
        <f t="shared" si="16"/>
        <v>0.24101204007851731</v>
      </c>
      <c r="AI29" s="178">
        <f t="shared" si="17"/>
        <v>0.48202408015703463</v>
      </c>
      <c r="AJ29" s="178">
        <f t="shared" si="18"/>
        <v>0.36088235128162499</v>
      </c>
      <c r="AK29" s="178">
        <f t="shared" si="11"/>
        <v>0.50650154565842109</v>
      </c>
      <c r="AL29" s="178">
        <f t="shared" si="12"/>
        <v>0.75975231848763158</v>
      </c>
    </row>
    <row r="30" spans="1:38" x14ac:dyDescent="0.35">
      <c r="A30" s="149"/>
      <c r="I30" s="149"/>
      <c r="J30" s="183" t="s">
        <v>235</v>
      </c>
      <c r="K30" s="179">
        <v>0.8</v>
      </c>
      <c r="L30" s="151">
        <v>0.8</v>
      </c>
      <c r="M30" s="179">
        <v>0.19</v>
      </c>
      <c r="N30" s="179">
        <v>0.12</v>
      </c>
      <c r="O30" s="173">
        <f t="shared" si="1"/>
        <v>0.15200000000000002</v>
      </c>
      <c r="P30" s="173">
        <f t="shared" si="2"/>
        <v>9.6000000000000002E-2</v>
      </c>
      <c r="Q30" s="178">
        <f t="shared" si="3"/>
        <v>2.4000000000000004</v>
      </c>
      <c r="R30" s="178">
        <f t="shared" si="4"/>
        <v>0.28800000000000003</v>
      </c>
      <c r="S30" s="178">
        <f t="shared" si="5"/>
        <v>0.38</v>
      </c>
      <c r="T30" s="178">
        <f t="shared" si="6"/>
        <v>0.30400000000000005</v>
      </c>
      <c r="U30" s="178">
        <f t="shared" si="7"/>
        <v>0.6080000000000001</v>
      </c>
      <c r="V30" s="178">
        <f t="shared" si="8"/>
        <v>0.432</v>
      </c>
      <c r="W30" s="178">
        <f t="shared" si="9"/>
        <v>0.60631578947368436</v>
      </c>
      <c r="X30" s="178">
        <f t="shared" si="10"/>
        <v>0.90947368421052632</v>
      </c>
      <c r="Z30" s="180" t="s">
        <v>235</v>
      </c>
      <c r="AA30" s="179">
        <v>0.8</v>
      </c>
      <c r="AB30" s="151">
        <v>0.8</v>
      </c>
      <c r="AC30" s="219">
        <f>(0.1114*(AB30*100)^1.1134)/100</f>
        <v>0.14648244567755681</v>
      </c>
      <c r="AD30" s="219">
        <f>(0.0606*(AB30*100)^1.1502)/100</f>
        <v>9.362821143486616E-2</v>
      </c>
      <c r="AE30" s="178">
        <f t="shared" si="13"/>
        <v>2.4000000000000004</v>
      </c>
      <c r="AF30" s="178">
        <f t="shared" si="14"/>
        <v>0.28088463430459848</v>
      </c>
      <c r="AG30" s="178">
        <f t="shared" si="15"/>
        <v>0.36620611419389204</v>
      </c>
      <c r="AH30" s="178">
        <f t="shared" si="16"/>
        <v>0.29296489135511361</v>
      </c>
      <c r="AI30" s="178">
        <f t="shared" si="17"/>
        <v>0.58592978271022722</v>
      </c>
      <c r="AJ30" s="178">
        <f t="shared" si="18"/>
        <v>0.42132695145689769</v>
      </c>
      <c r="AK30" s="178">
        <f t="shared" si="11"/>
        <v>0.59133607222020734</v>
      </c>
      <c r="AL30" s="178">
        <f t="shared" si="12"/>
        <v>0.88700410833031096</v>
      </c>
    </row>
    <row r="31" spans="1:38" x14ac:dyDescent="0.35">
      <c r="A31" s="149"/>
      <c r="I31" s="149"/>
      <c r="J31" s="183" t="s">
        <v>240</v>
      </c>
      <c r="K31" s="179">
        <v>1.6</v>
      </c>
      <c r="L31" s="151">
        <v>1.6</v>
      </c>
      <c r="M31" s="179">
        <v>0.16</v>
      </c>
      <c r="N31" s="179">
        <v>0.15</v>
      </c>
      <c r="O31" s="173">
        <f t="shared" si="1"/>
        <v>0.25600000000000001</v>
      </c>
      <c r="P31" s="173">
        <f t="shared" si="2"/>
        <v>0.24</v>
      </c>
      <c r="Q31" s="178">
        <f t="shared" si="3"/>
        <v>4.8000000000000007</v>
      </c>
      <c r="R31" s="178">
        <f t="shared" si="4"/>
        <v>0.72000000000000008</v>
      </c>
      <c r="S31" s="178">
        <f t="shared" si="5"/>
        <v>0.64</v>
      </c>
      <c r="T31" s="178">
        <f t="shared" si="6"/>
        <v>0.51200000000000001</v>
      </c>
      <c r="U31" s="178">
        <f t="shared" si="7"/>
        <v>1.024</v>
      </c>
      <c r="V31" s="178">
        <f t="shared" si="8"/>
        <v>1.08</v>
      </c>
      <c r="W31" s="178">
        <f t="shared" si="9"/>
        <v>1.5157894736842106</v>
      </c>
      <c r="X31" s="178">
        <f t="shared" si="10"/>
        <v>2.2736842105263162</v>
      </c>
      <c r="Z31" s="180" t="s">
        <v>240</v>
      </c>
      <c r="AA31" s="179">
        <v>1.6</v>
      </c>
      <c r="AB31" s="151">
        <v>1.6</v>
      </c>
      <c r="AC31" s="219">
        <f>(0.1479*(AB31*100)^1.0113)/100</f>
        <v>0.25060787412923802</v>
      </c>
      <c r="AD31" s="219">
        <f>(0.0944*(AB31*100)^1.0539)/100</f>
        <v>0.19856104235973721</v>
      </c>
      <c r="AE31" s="178">
        <f t="shared" si="13"/>
        <v>4.8000000000000007</v>
      </c>
      <c r="AF31" s="178">
        <f t="shared" si="14"/>
        <v>0.59568312707921156</v>
      </c>
      <c r="AG31" s="178">
        <f t="shared" si="15"/>
        <v>0.62651968532309499</v>
      </c>
      <c r="AH31" s="178">
        <f t="shared" si="16"/>
        <v>0.50121574825847603</v>
      </c>
      <c r="AI31" s="178">
        <f t="shared" si="17"/>
        <v>1.0024314965169521</v>
      </c>
      <c r="AJ31" s="178">
        <f t="shared" si="18"/>
        <v>0.89352469061881745</v>
      </c>
      <c r="AK31" s="178">
        <f t="shared" si="11"/>
        <v>1.2540697412193929</v>
      </c>
      <c r="AL31" s="178">
        <f t="shared" si="12"/>
        <v>1.8811046118290895</v>
      </c>
    </row>
    <row r="32" spans="1:38" x14ac:dyDescent="0.35">
      <c r="A32" s="149"/>
      <c r="I32" s="149"/>
      <c r="J32" s="183" t="s">
        <v>241</v>
      </c>
      <c r="K32" s="179">
        <v>0.8</v>
      </c>
      <c r="L32" s="151">
        <v>0.8</v>
      </c>
      <c r="M32" s="179">
        <v>0.2</v>
      </c>
      <c r="N32" s="179">
        <v>0.1</v>
      </c>
      <c r="O32" s="173">
        <f t="shared" si="1"/>
        <v>0.16000000000000003</v>
      </c>
      <c r="P32" s="173">
        <f t="shared" si="2"/>
        <v>8.0000000000000016E-2</v>
      </c>
      <c r="Q32" s="178">
        <f t="shared" si="3"/>
        <v>2.4000000000000004</v>
      </c>
      <c r="R32" s="178">
        <f t="shared" si="4"/>
        <v>0.24000000000000005</v>
      </c>
      <c r="S32" s="178">
        <f t="shared" si="5"/>
        <v>0.4</v>
      </c>
      <c r="T32" s="178">
        <f t="shared" si="6"/>
        <v>0.32000000000000006</v>
      </c>
      <c r="U32" s="178">
        <f t="shared" si="7"/>
        <v>0.64000000000000012</v>
      </c>
      <c r="V32" s="178">
        <f t="shared" si="8"/>
        <v>0.36000000000000004</v>
      </c>
      <c r="W32" s="178">
        <f t="shared" si="9"/>
        <v>0.50526315789473697</v>
      </c>
      <c r="X32" s="178">
        <f t="shared" si="10"/>
        <v>0.75789473684210551</v>
      </c>
      <c r="Z32" s="180" t="s">
        <v>241</v>
      </c>
      <c r="AA32" s="179">
        <v>0.8</v>
      </c>
      <c r="AB32" s="151">
        <v>0.8</v>
      </c>
      <c r="AC32" s="220">
        <v>0.2</v>
      </c>
      <c r="AD32" s="220">
        <v>0.1</v>
      </c>
      <c r="AE32" s="178">
        <f>3*AB32/$E$5</f>
        <v>2.4000000000000004</v>
      </c>
      <c r="AF32" s="178">
        <f>L32*3*AD32/$E$5</f>
        <v>0.24000000000000005</v>
      </c>
      <c r="AG32" s="178">
        <f>AB32*2.5*AC32/$E$5</f>
        <v>0.4</v>
      </c>
      <c r="AH32" s="178">
        <f>AB32*AC32*2/$E$5</f>
        <v>0.32000000000000006</v>
      </c>
      <c r="AI32" s="178">
        <f>AB32*AC32*4/$E$5</f>
        <v>0.64000000000000012</v>
      </c>
      <c r="AJ32" s="178">
        <f>AB32*4.5*AD32/$E$5</f>
        <v>0.36000000000000004</v>
      </c>
      <c r="AK32" s="178">
        <f t="shared" si="11"/>
        <v>0.63157894736842113</v>
      </c>
      <c r="AL32" s="178">
        <f t="shared" si="12"/>
        <v>0.94736842105263164</v>
      </c>
    </row>
    <row r="33" spans="1:38" ht="18.5" x14ac:dyDescent="0.45">
      <c r="A33" s="149"/>
      <c r="B33" s="202" t="s">
        <v>295</v>
      </c>
      <c r="I33" s="149"/>
      <c r="J33" s="183" t="s">
        <v>242</v>
      </c>
      <c r="K33" s="179">
        <v>0.8</v>
      </c>
      <c r="L33" s="151">
        <v>0.8</v>
      </c>
      <c r="M33" s="179">
        <v>0.3</v>
      </c>
      <c r="N33" s="179">
        <v>0.16</v>
      </c>
      <c r="O33" s="173">
        <f t="shared" si="1"/>
        <v>0.24</v>
      </c>
      <c r="P33" s="173">
        <f t="shared" si="2"/>
        <v>0.128</v>
      </c>
      <c r="Q33" s="178">
        <f t="shared" si="3"/>
        <v>2.4000000000000004</v>
      </c>
      <c r="R33" s="178">
        <f t="shared" si="4"/>
        <v>0.38400000000000006</v>
      </c>
      <c r="S33" s="178">
        <f t="shared" si="5"/>
        <v>0.6</v>
      </c>
      <c r="T33" s="178">
        <f t="shared" si="6"/>
        <v>0.48</v>
      </c>
      <c r="U33" s="178">
        <f t="shared" si="7"/>
        <v>0.96</v>
      </c>
      <c r="V33" s="178">
        <f t="shared" si="8"/>
        <v>0.57600000000000007</v>
      </c>
      <c r="W33" s="178">
        <f t="shared" si="9"/>
        <v>0.80842105263157904</v>
      </c>
      <c r="X33" s="178">
        <f t="shared" si="10"/>
        <v>1.2126315789473687</v>
      </c>
      <c r="Z33" s="180" t="s">
        <v>242</v>
      </c>
      <c r="AA33" s="179">
        <v>0.8</v>
      </c>
      <c r="AB33" s="151">
        <v>0.8</v>
      </c>
      <c r="AC33" s="220">
        <v>0.3</v>
      </c>
      <c r="AD33" s="220">
        <v>0.16</v>
      </c>
      <c r="AE33" s="178">
        <f>3*AB33/$E$5</f>
        <v>2.4000000000000004</v>
      </c>
      <c r="AF33" s="178">
        <f>L33*3*AD33/$E$5</f>
        <v>0.38400000000000006</v>
      </c>
      <c r="AG33" s="178">
        <f>AB33*2.5*AC33/$E$5</f>
        <v>0.6</v>
      </c>
      <c r="AH33" s="178">
        <f>AB33*AC33*2/$E$5</f>
        <v>0.48</v>
      </c>
      <c r="AI33" s="178">
        <f>AB33*AC33*4/$E$5</f>
        <v>0.96</v>
      </c>
      <c r="AJ33" s="178">
        <f>AB33*4.5*AD33/$E$5</f>
        <v>0.57600000000000007</v>
      </c>
      <c r="AK33" s="178">
        <f t="shared" si="11"/>
        <v>1.0105263157894737</v>
      </c>
      <c r="AL33" s="178">
        <f t="shared" si="12"/>
        <v>1.5157894736842106</v>
      </c>
    </row>
    <row r="34" spans="1:38" x14ac:dyDescent="0.35">
      <c r="A34" s="149"/>
      <c r="I34" s="149"/>
      <c r="J34" s="183" t="s">
        <v>243</v>
      </c>
      <c r="K34" s="179">
        <v>0.45</v>
      </c>
      <c r="L34" s="151">
        <v>0.45</v>
      </c>
      <c r="M34" s="179">
        <v>0.3</v>
      </c>
      <c r="N34" s="179">
        <v>0.16</v>
      </c>
      <c r="O34" s="173">
        <f t="shared" si="1"/>
        <v>0.13500000000000001</v>
      </c>
      <c r="P34" s="173">
        <f t="shared" si="2"/>
        <v>7.2000000000000008E-2</v>
      </c>
      <c r="Q34" s="178">
        <f t="shared" si="3"/>
        <v>1.35</v>
      </c>
      <c r="R34" s="178">
        <f t="shared" si="4"/>
        <v>0.21600000000000003</v>
      </c>
      <c r="S34" s="178">
        <f t="shared" si="5"/>
        <v>0.33749999999999997</v>
      </c>
      <c r="T34" s="178">
        <f t="shared" si="6"/>
        <v>0.27</v>
      </c>
      <c r="U34" s="178">
        <f t="shared" si="7"/>
        <v>0.54</v>
      </c>
      <c r="V34" s="178">
        <f t="shared" si="8"/>
        <v>0.32400000000000001</v>
      </c>
      <c r="W34" s="178">
        <f t="shared" si="9"/>
        <v>0.45473684210526322</v>
      </c>
      <c r="X34" s="178">
        <f t="shared" si="10"/>
        <v>0.68210526315789488</v>
      </c>
      <c r="Z34" s="180" t="s">
        <v>243</v>
      </c>
      <c r="AA34" s="179">
        <v>0.45</v>
      </c>
      <c r="AB34" s="151">
        <v>0.45</v>
      </c>
      <c r="AC34" s="220">
        <v>0.3</v>
      </c>
      <c r="AD34" s="220">
        <v>0.16</v>
      </c>
      <c r="AE34" s="178">
        <f>3*AB34/$E$5</f>
        <v>1.35</v>
      </c>
      <c r="AF34" s="178">
        <f>L34*3*AD34/$E$5</f>
        <v>0.21600000000000003</v>
      </c>
      <c r="AG34" s="178">
        <f>AB34*2.5*AC34/$E$5</f>
        <v>0.33749999999999997</v>
      </c>
      <c r="AH34" s="178">
        <f>AB34*AC34*2/$E$5</f>
        <v>0.27</v>
      </c>
      <c r="AI34" s="178">
        <f>AB34*AC34*4/$E$5</f>
        <v>0.54</v>
      </c>
      <c r="AJ34" s="178">
        <f>AB34*4.5*AD34/$E$5</f>
        <v>0.32400000000000001</v>
      </c>
      <c r="AK34" s="178">
        <f t="shared" si="11"/>
        <v>1.0105263157894737</v>
      </c>
      <c r="AL34" s="178">
        <f t="shared" si="12"/>
        <v>1.5157894736842106</v>
      </c>
    </row>
    <row r="35" spans="1:38" x14ac:dyDescent="0.35">
      <c r="A35" s="149"/>
      <c r="B35" s="185" t="s">
        <v>384</v>
      </c>
      <c r="C35" s="185"/>
      <c r="D35" s="185"/>
      <c r="E35" s="185"/>
      <c r="F35" s="185"/>
      <c r="G35" s="185"/>
      <c r="H35" s="185"/>
      <c r="I35" s="149"/>
      <c r="J35" s="183" t="s">
        <v>244</v>
      </c>
      <c r="K35" s="179">
        <v>0.6</v>
      </c>
      <c r="L35" s="151">
        <v>0.6</v>
      </c>
      <c r="M35" s="179">
        <v>0.26</v>
      </c>
      <c r="N35" s="179">
        <v>0.15</v>
      </c>
      <c r="O35" s="173">
        <f t="shared" si="1"/>
        <v>0.156</v>
      </c>
      <c r="P35" s="173">
        <f t="shared" si="2"/>
        <v>0.09</v>
      </c>
      <c r="Q35" s="178">
        <f t="shared" si="3"/>
        <v>1.7999999999999998</v>
      </c>
      <c r="R35" s="178">
        <f t="shared" si="4"/>
        <v>0.26999999999999996</v>
      </c>
      <c r="S35" s="178">
        <f t="shared" si="5"/>
        <v>0.39</v>
      </c>
      <c r="T35" s="178">
        <f t="shared" si="6"/>
        <v>0.312</v>
      </c>
      <c r="U35" s="178">
        <f t="shared" si="7"/>
        <v>0.624</v>
      </c>
      <c r="V35" s="178">
        <f t="shared" si="8"/>
        <v>0.40499999999999997</v>
      </c>
      <c r="W35" s="178">
        <f t="shared" si="9"/>
        <v>0.56842105263157905</v>
      </c>
      <c r="X35" s="178">
        <f t="shared" si="10"/>
        <v>0.85263157894736841</v>
      </c>
      <c r="Z35" s="180" t="s">
        <v>244</v>
      </c>
      <c r="AA35" s="179">
        <v>0.6</v>
      </c>
      <c r="AB35" s="151">
        <v>0.6</v>
      </c>
      <c r="AC35" s="220">
        <v>0.26</v>
      </c>
      <c r="AD35" s="220">
        <v>0.15</v>
      </c>
      <c r="AE35" s="178">
        <f>3*AB35/$E$5</f>
        <v>1.7999999999999998</v>
      </c>
      <c r="AF35" s="178">
        <f>L35*3*AD35/$E$5</f>
        <v>0.26999999999999996</v>
      </c>
      <c r="AG35" s="178">
        <f>AB35*2.5*AC35/$E$5</f>
        <v>0.39</v>
      </c>
      <c r="AH35" s="178">
        <f>AB35*AC35*2/$E$5</f>
        <v>0.312</v>
      </c>
      <c r="AI35" s="178">
        <f>AB35*AC35*4/$E$5</f>
        <v>0.624</v>
      </c>
      <c r="AJ35" s="178">
        <f>AB35*4.5*AD35/$E$5</f>
        <v>0.40499999999999997</v>
      </c>
      <c r="AK35" s="178">
        <f t="shared" si="11"/>
        <v>0.94736842105263153</v>
      </c>
      <c r="AL35" s="178">
        <f t="shared" si="12"/>
        <v>1.4210526315789473</v>
      </c>
    </row>
    <row r="36" spans="1:38" ht="28" x14ac:dyDescent="0.35">
      <c r="A36" s="149"/>
      <c r="B36" s="186" t="s">
        <v>247</v>
      </c>
      <c r="C36" s="187" t="s">
        <v>200</v>
      </c>
      <c r="D36" s="187" t="s">
        <v>201</v>
      </c>
      <c r="E36" s="187" t="s">
        <v>202</v>
      </c>
      <c r="F36" s="187" t="s">
        <v>203</v>
      </c>
      <c r="G36" s="187" t="s">
        <v>204</v>
      </c>
      <c r="H36" s="187" t="s">
        <v>205</v>
      </c>
      <c r="I36" s="149"/>
      <c r="J36" t="s">
        <v>270</v>
      </c>
      <c r="Z36" s="221" t="s">
        <v>334</v>
      </c>
      <c r="AA36" s="149"/>
      <c r="AB36" s="149"/>
      <c r="AC36" s="149"/>
      <c r="AD36" s="149"/>
    </row>
    <row r="37" spans="1:38" x14ac:dyDescent="0.35">
      <c r="B37" s="186" t="s">
        <v>213</v>
      </c>
      <c r="C37" s="186">
        <v>2.2000000000000002</v>
      </c>
      <c r="D37" s="186">
        <v>2.1</v>
      </c>
      <c r="E37" s="186">
        <v>2</v>
      </c>
      <c r="F37" s="186">
        <v>1.8</v>
      </c>
      <c r="G37" s="186">
        <v>1.7</v>
      </c>
      <c r="H37" s="186">
        <v>1.6</v>
      </c>
      <c r="J37" s="195" t="s">
        <v>271</v>
      </c>
    </row>
    <row r="38" spans="1:38" x14ac:dyDescent="0.35">
      <c r="B38" s="186" t="s">
        <v>215</v>
      </c>
      <c r="C38" s="186">
        <v>2.1</v>
      </c>
      <c r="D38" s="186">
        <v>2</v>
      </c>
      <c r="E38" s="186">
        <v>1.9</v>
      </c>
      <c r="F38" s="186">
        <v>1.7</v>
      </c>
      <c r="G38" s="186">
        <v>1.6</v>
      </c>
      <c r="H38" s="186">
        <v>1.5</v>
      </c>
    </row>
    <row r="39" spans="1:38" x14ac:dyDescent="0.35">
      <c r="B39" s="186" t="s">
        <v>217</v>
      </c>
      <c r="C39" s="186">
        <v>2</v>
      </c>
      <c r="D39" s="186">
        <v>1.9</v>
      </c>
      <c r="E39" s="186">
        <v>1.8</v>
      </c>
      <c r="F39" s="186">
        <v>1.6</v>
      </c>
      <c r="G39" s="186">
        <v>1.5</v>
      </c>
      <c r="H39" s="186">
        <v>1.4</v>
      </c>
    </row>
    <row r="40" spans="1:38" x14ac:dyDescent="0.35">
      <c r="B40" s="186" t="s">
        <v>219</v>
      </c>
      <c r="C40" s="186">
        <v>1.9</v>
      </c>
      <c r="D40" s="186">
        <v>1.8</v>
      </c>
      <c r="E40" s="186">
        <v>1.7</v>
      </c>
      <c r="F40" s="188" t="s">
        <v>220</v>
      </c>
      <c r="G40" s="188"/>
      <c r="H40" s="188"/>
    </row>
    <row r="41" spans="1:38" x14ac:dyDescent="0.35">
      <c r="B41" s="189" t="s">
        <v>251</v>
      </c>
      <c r="C41" s="189"/>
      <c r="D41" s="189"/>
      <c r="E41" s="189"/>
      <c r="F41" s="190"/>
      <c r="G41" s="190"/>
      <c r="H41" s="190"/>
    </row>
    <row r="42" spans="1:38" x14ac:dyDescent="0.35">
      <c r="B42" s="149"/>
      <c r="C42" s="149"/>
      <c r="D42" s="149"/>
      <c r="E42" s="149"/>
      <c r="F42" s="149"/>
      <c r="G42" s="149"/>
      <c r="H42" s="149"/>
    </row>
    <row r="43" spans="1:38" ht="15.5" x14ac:dyDescent="0.35">
      <c r="B43" s="252" t="s">
        <v>385</v>
      </c>
      <c r="C43" s="149"/>
      <c r="D43" s="149"/>
      <c r="E43" s="185"/>
      <c r="F43" s="185"/>
      <c r="G43" s="185"/>
      <c r="H43" s="149"/>
    </row>
    <row r="44" spans="1:38" ht="28" x14ac:dyDescent="0.35">
      <c r="B44" s="187" t="s">
        <v>200</v>
      </c>
      <c r="C44" s="187" t="s">
        <v>201</v>
      </c>
      <c r="D44" s="187" t="s">
        <v>202</v>
      </c>
      <c r="E44" s="187" t="s">
        <v>203</v>
      </c>
      <c r="F44" s="187" t="s">
        <v>204</v>
      </c>
      <c r="G44" s="187" t="s">
        <v>205</v>
      </c>
      <c r="H44" s="149"/>
    </row>
    <row r="45" spans="1:38" x14ac:dyDescent="0.35">
      <c r="B45" s="186">
        <v>250</v>
      </c>
      <c r="C45" s="186">
        <v>225</v>
      </c>
      <c r="D45" s="186">
        <v>200</v>
      </c>
      <c r="E45" s="186">
        <v>150</v>
      </c>
      <c r="F45" s="186">
        <v>125</v>
      </c>
      <c r="G45" s="186">
        <v>100</v>
      </c>
      <c r="H45" s="149"/>
    </row>
    <row r="46" spans="1:38" x14ac:dyDescent="0.35">
      <c r="C46" s="211"/>
      <c r="D46" s="211"/>
      <c r="E46" s="260" t="s">
        <v>227</v>
      </c>
      <c r="F46" s="261"/>
      <c r="G46" s="262"/>
    </row>
    <row r="47" spans="1:38" x14ac:dyDescent="0.35">
      <c r="C47" s="211"/>
      <c r="D47" s="211"/>
      <c r="E47" s="186">
        <v>100</v>
      </c>
      <c r="F47" s="186">
        <v>100</v>
      </c>
      <c r="G47" s="186">
        <v>100</v>
      </c>
    </row>
  </sheetData>
  <mergeCells count="7">
    <mergeCell ref="E46:G46"/>
    <mergeCell ref="W14:X14"/>
    <mergeCell ref="AK14:AL14"/>
    <mergeCell ref="F19:H19"/>
    <mergeCell ref="E27:G27"/>
    <mergeCell ref="AE14:AJ14"/>
    <mergeCell ref="Q14:V14"/>
  </mergeCells>
  <pageMargins left="0.70866141732283472" right="0.70866141732283472" top="0.78740157480314965" bottom="0.78740157480314965" header="0.31496062992125984" footer="0.31496062992125984"/>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N7" workbookViewId="0">
      <selection activeCell="AK19" sqref="AK19"/>
    </sheetView>
  </sheetViews>
  <sheetFormatPr baseColWidth="10" defaultRowHeight="14.5" x14ac:dyDescent="0.35"/>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30"/>
  <sheetViews>
    <sheetView zoomScale="90" zoomScaleNormal="90" workbookViewId="0">
      <selection activeCell="AG18" sqref="AG18"/>
    </sheetView>
  </sheetViews>
  <sheetFormatPr baseColWidth="10" defaultRowHeight="14.5" x14ac:dyDescent="0.35"/>
  <cols>
    <col min="1" max="1" width="7.1796875" customWidth="1"/>
    <col min="2" max="2" width="7.26953125" customWidth="1"/>
    <col min="3" max="3" width="8.26953125" customWidth="1"/>
    <col min="4" max="4" width="8.81640625" customWidth="1"/>
    <col min="5" max="5" width="9" customWidth="1"/>
    <col min="6" max="6" width="7.54296875" customWidth="1"/>
    <col min="7" max="7" width="8.7265625" customWidth="1"/>
    <col min="8" max="8" width="7.7265625" customWidth="1"/>
    <col min="9" max="9" width="7.26953125" customWidth="1"/>
    <col min="10" max="10" width="7.1796875" customWidth="1"/>
    <col min="11" max="11" width="7.26953125" customWidth="1"/>
    <col min="12" max="12" width="6.7265625" customWidth="1"/>
    <col min="13" max="13" width="6" customWidth="1"/>
    <col min="14" max="14" width="6.453125" customWidth="1"/>
    <col min="15" max="15" width="6" hidden="1" customWidth="1"/>
    <col min="16" max="16" width="6" customWidth="1"/>
    <col min="17" max="17" width="8.81640625" hidden="1" customWidth="1"/>
    <col min="18" max="18" width="8.7265625" hidden="1" customWidth="1"/>
    <col min="19" max="19" width="6.54296875" customWidth="1"/>
    <col min="20" max="20" width="7" customWidth="1"/>
    <col min="21" max="23" width="5.81640625" hidden="1" customWidth="1"/>
    <col min="24" max="24" width="6.81640625" customWidth="1"/>
    <col min="25" max="25" width="9.1796875" customWidth="1"/>
    <col min="26" max="26" width="6.453125" customWidth="1"/>
    <col min="27" max="27" width="7.1796875" customWidth="1"/>
    <col min="28" max="28" width="7.7265625" customWidth="1"/>
    <col min="29" max="29" width="7.1796875" hidden="1" customWidth="1"/>
    <col min="30" max="30" width="8.1796875" customWidth="1"/>
    <col min="31" max="31" width="7" customWidth="1"/>
    <col min="32" max="32" width="7.26953125" customWidth="1"/>
  </cols>
  <sheetData>
    <row r="1" spans="1:35" x14ac:dyDescent="0.35">
      <c r="A1" s="4" t="s">
        <v>316</v>
      </c>
      <c r="B1" s="4"/>
      <c r="K1" s="5"/>
      <c r="T1" s="6" t="s">
        <v>5</v>
      </c>
    </row>
    <row r="2" spans="1:35" x14ac:dyDescent="0.35">
      <c r="A2" s="208"/>
      <c r="B2" s="4"/>
      <c r="K2" s="5"/>
      <c r="L2" s="7"/>
      <c r="T2" t="s">
        <v>380</v>
      </c>
      <c r="AD2" s="149" t="s">
        <v>381</v>
      </c>
    </row>
    <row r="3" spans="1:35" x14ac:dyDescent="0.35">
      <c r="A3" s="4"/>
      <c r="B3" s="7" t="s">
        <v>6</v>
      </c>
      <c r="C3" s="140"/>
      <c r="D3" s="141"/>
      <c r="E3" s="141"/>
      <c r="F3" s="141"/>
      <c r="G3" s="141"/>
      <c r="H3" s="141"/>
      <c r="I3" s="141"/>
      <c r="J3" s="141"/>
      <c r="K3" s="141"/>
      <c r="L3" s="136"/>
    </row>
    <row r="4" spans="1:35" x14ac:dyDescent="0.35">
      <c r="B4" s="7" t="s">
        <v>7</v>
      </c>
      <c r="C4" s="140"/>
      <c r="D4" s="141"/>
      <c r="E4" s="141"/>
      <c r="F4" s="141"/>
      <c r="G4" s="141"/>
      <c r="H4" s="141"/>
      <c r="I4" s="141"/>
      <c r="J4" s="141"/>
      <c r="K4" s="141"/>
      <c r="L4" s="136"/>
    </row>
    <row r="5" spans="1:35" ht="15.5" x14ac:dyDescent="0.35">
      <c r="B5" s="11" t="s">
        <v>8</v>
      </c>
      <c r="C5" s="138"/>
      <c r="D5" s="137"/>
      <c r="E5" s="137"/>
      <c r="F5" s="137"/>
      <c r="G5" s="139"/>
      <c r="Y5" s="144" t="s">
        <v>10</v>
      </c>
      <c r="Z5" s="143" t="s">
        <v>11</v>
      </c>
      <c r="AA5" s="143"/>
    </row>
    <row r="6" spans="1:35" x14ac:dyDescent="0.35">
      <c r="A6" s="4"/>
      <c r="B6" s="4"/>
      <c r="Y6" s="14" t="s">
        <v>14</v>
      </c>
      <c r="Z6" s="15" t="s">
        <v>15</v>
      </c>
    </row>
    <row r="7" spans="1:35" x14ac:dyDescent="0.35">
      <c r="E7" s="4" t="s">
        <v>9</v>
      </c>
      <c r="Y7" s="17" t="s">
        <v>161</v>
      </c>
      <c r="Z7" s="15" t="s">
        <v>15</v>
      </c>
    </row>
    <row r="8" spans="1:35" x14ac:dyDescent="0.35">
      <c r="E8" s="12" t="s">
        <v>12</v>
      </c>
      <c r="F8" s="16">
        <v>50</v>
      </c>
      <c r="K8" s="12" t="s">
        <v>13</v>
      </c>
      <c r="L8" s="13">
        <f>(F12-F13)</f>
        <v>0.55789643636484243</v>
      </c>
      <c r="Y8" s="21" t="s">
        <v>21</v>
      </c>
      <c r="Z8" s="15" t="s">
        <v>22</v>
      </c>
    </row>
    <row r="9" spans="1:35" x14ac:dyDescent="0.35">
      <c r="E9" s="12" t="s">
        <v>16</v>
      </c>
      <c r="F9" s="16">
        <v>12</v>
      </c>
      <c r="K9" s="12" t="s">
        <v>17</v>
      </c>
      <c r="L9" s="13">
        <f>L8/F9</f>
        <v>4.6491369697070205E-2</v>
      </c>
      <c r="Y9" s="14" t="s">
        <v>162</v>
      </c>
      <c r="Z9" s="204" t="s">
        <v>302</v>
      </c>
    </row>
    <row r="10" spans="1:35" x14ac:dyDescent="0.35">
      <c r="E10" s="12" t="s">
        <v>18</v>
      </c>
      <c r="F10" s="16">
        <v>170</v>
      </c>
      <c r="K10" s="12" t="s">
        <v>19</v>
      </c>
      <c r="L10" s="18">
        <f>(F10-F11)/F8</f>
        <v>0.02</v>
      </c>
      <c r="M10" s="23" t="s">
        <v>156</v>
      </c>
      <c r="N10" s="132">
        <f>1/L10</f>
        <v>50</v>
      </c>
    </row>
    <row r="11" spans="1:35" x14ac:dyDescent="0.35">
      <c r="E11" s="12" t="s">
        <v>23</v>
      </c>
      <c r="F11" s="16">
        <v>169</v>
      </c>
      <c r="M11" s="126" t="s">
        <v>157</v>
      </c>
      <c r="N11" s="23">
        <f>L10*100</f>
        <v>2</v>
      </c>
    </row>
    <row r="12" spans="1:35" x14ac:dyDescent="0.35">
      <c r="E12" s="12" t="s">
        <v>24</v>
      </c>
      <c r="F12" s="16">
        <v>170.55789643636484</v>
      </c>
      <c r="Y12" s="15"/>
    </row>
    <row r="13" spans="1:35" x14ac:dyDescent="0.35">
      <c r="E13" s="12" t="s">
        <v>25</v>
      </c>
      <c r="F13" s="16">
        <v>170</v>
      </c>
      <c r="M13" s="76" t="s">
        <v>148</v>
      </c>
      <c r="N13" s="23">
        <f>F19+F21*F14*2</f>
        <v>4.3</v>
      </c>
      <c r="X13" s="142" t="s">
        <v>29</v>
      </c>
      <c r="Y13" s="142"/>
      <c r="AA13" s="25" t="s">
        <v>163</v>
      </c>
      <c r="AI13" s="22"/>
    </row>
    <row r="14" spans="1:35" x14ac:dyDescent="0.35">
      <c r="E14" s="12" t="s">
        <v>26</v>
      </c>
      <c r="F14" s="16">
        <v>0.6</v>
      </c>
      <c r="M14" s="11" t="s">
        <v>27</v>
      </c>
      <c r="N14" s="23">
        <f>SUMIF(A26:A124,"=1",Z26:Z124)</f>
        <v>0.36098602129653695</v>
      </c>
      <c r="X14" s="142" t="s">
        <v>167</v>
      </c>
      <c r="Y14" s="142"/>
      <c r="AA14" t="s">
        <v>164</v>
      </c>
      <c r="AI14" s="22"/>
    </row>
    <row r="15" spans="1:35" x14ac:dyDescent="0.35">
      <c r="E15" s="12" t="s">
        <v>28</v>
      </c>
      <c r="F15" s="16">
        <v>0.6</v>
      </c>
      <c r="AA15" s="25" t="s">
        <v>165</v>
      </c>
      <c r="AC15" s="22"/>
    </row>
    <row r="16" spans="1:35" x14ac:dyDescent="0.35">
      <c r="E16" s="12" t="s">
        <v>31</v>
      </c>
      <c r="F16" s="16">
        <v>0.2</v>
      </c>
      <c r="M16" s="76" t="s">
        <v>158</v>
      </c>
      <c r="N16" s="23">
        <f>2*F15</f>
        <v>1.2</v>
      </c>
      <c r="AA16" s="22" t="s">
        <v>166</v>
      </c>
      <c r="AC16" s="22"/>
    </row>
    <row r="17" spans="1:36" x14ac:dyDescent="0.35">
      <c r="E17" s="26" t="s">
        <v>34</v>
      </c>
      <c r="F17" s="16">
        <v>0.3</v>
      </c>
      <c r="M17" s="11" t="s">
        <v>39</v>
      </c>
      <c r="N17" s="23">
        <f>5*F15</f>
        <v>3</v>
      </c>
      <c r="AC17" s="22"/>
    </row>
    <row r="18" spans="1:36" ht="15.75" customHeight="1" x14ac:dyDescent="0.35">
      <c r="E18" s="12" t="s">
        <v>35</v>
      </c>
      <c r="F18" s="16">
        <v>0.4</v>
      </c>
      <c r="M18" s="76" t="s">
        <v>181</v>
      </c>
      <c r="N18" s="23">
        <f>6*(K26-D26)</f>
        <v>2.8835720212857154</v>
      </c>
    </row>
    <row r="19" spans="1:36" x14ac:dyDescent="0.35">
      <c r="E19" s="12" t="s">
        <v>37</v>
      </c>
      <c r="F19" s="28">
        <v>2.5</v>
      </c>
      <c r="Y19" s="27" t="s">
        <v>36</v>
      </c>
      <c r="Z19" s="27"/>
    </row>
    <row r="20" spans="1:36" x14ac:dyDescent="0.35">
      <c r="E20" s="12" t="s">
        <v>180</v>
      </c>
      <c r="F20" s="28">
        <v>0.35</v>
      </c>
      <c r="G20" s="32"/>
      <c r="M20" s="205" t="s">
        <v>303</v>
      </c>
      <c r="N20" s="205" t="s">
        <v>304</v>
      </c>
      <c r="O20" t="s">
        <v>304</v>
      </c>
      <c r="Y20" s="29" t="s">
        <v>38</v>
      </c>
      <c r="Z20" s="29"/>
      <c r="AA20" s="29"/>
      <c r="AB20" s="29"/>
      <c r="AC20" s="29"/>
    </row>
    <row r="21" spans="1:36" x14ac:dyDescent="0.35">
      <c r="E21" s="12" t="s">
        <v>40</v>
      </c>
      <c r="F21" s="28">
        <v>1.5</v>
      </c>
      <c r="L21" s="205" t="s">
        <v>305</v>
      </c>
      <c r="M21" s="206">
        <f>10*(E26-F11)</f>
        <v>15.999999999999943</v>
      </c>
      <c r="N21" s="206">
        <f>7*(E26-F11)</f>
        <v>11.19999999999996</v>
      </c>
      <c r="O21" s="206">
        <f>7*L8</f>
        <v>3.905275054553897</v>
      </c>
    </row>
    <row r="22" spans="1:36" x14ac:dyDescent="0.35">
      <c r="C22" s="22"/>
      <c r="D22" s="22"/>
      <c r="E22" s="12" t="s">
        <v>41</v>
      </c>
      <c r="F22" s="28">
        <v>1.1000000000000001</v>
      </c>
      <c r="L22" s="205" t="s">
        <v>306</v>
      </c>
      <c r="M22" s="206">
        <f>0.5*(E26-F11)</f>
        <v>0.79999999999999716</v>
      </c>
      <c r="N22" s="206">
        <f>0.333*(E26-F11)</f>
        <v>0.53279999999999816</v>
      </c>
      <c r="O22" s="206">
        <f>0.3333*L8</f>
        <v>0.18594688224040198</v>
      </c>
    </row>
    <row r="23" spans="1:36" ht="15" thickBot="1" x14ac:dyDescent="0.4">
      <c r="E23" s="11"/>
    </row>
    <row r="24" spans="1:36" ht="15" thickBot="1" x14ac:dyDescent="0.4">
      <c r="A24" s="281" t="s">
        <v>42</v>
      </c>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3"/>
      <c r="AA24" s="284" t="s">
        <v>43</v>
      </c>
      <c r="AB24" s="285"/>
      <c r="AC24" s="285"/>
      <c r="AD24" s="285"/>
      <c r="AE24" s="285"/>
      <c r="AF24" s="286"/>
    </row>
    <row r="25" spans="1:36" ht="94.5" customHeight="1" x14ac:dyDescent="0.45">
      <c r="A25" s="33" t="s">
        <v>291</v>
      </c>
      <c r="B25" s="34" t="s">
        <v>44</v>
      </c>
      <c r="C25" s="34" t="s">
        <v>307</v>
      </c>
      <c r="D25" s="33" t="s">
        <v>308</v>
      </c>
      <c r="E25" s="33" t="s">
        <v>47</v>
      </c>
      <c r="F25" s="35" t="s">
        <v>48</v>
      </c>
      <c r="G25" s="33" t="s">
        <v>147</v>
      </c>
      <c r="H25" s="33" t="s">
        <v>49</v>
      </c>
      <c r="I25" s="35" t="s">
        <v>149</v>
      </c>
      <c r="J25" s="33" t="s">
        <v>50</v>
      </c>
      <c r="K25" s="33" t="s">
        <v>51</v>
      </c>
      <c r="L25" s="33" t="s">
        <v>52</v>
      </c>
      <c r="M25" s="33" t="s">
        <v>322</v>
      </c>
      <c r="N25" s="33" t="s">
        <v>288</v>
      </c>
      <c r="O25" s="33" t="s">
        <v>53</v>
      </c>
      <c r="P25" s="33" t="s">
        <v>54</v>
      </c>
      <c r="Q25" s="133" t="s">
        <v>160</v>
      </c>
      <c r="R25" s="133" t="s">
        <v>159</v>
      </c>
      <c r="S25" s="37" t="s">
        <v>56</v>
      </c>
      <c r="T25" s="38" t="s">
        <v>57</v>
      </c>
      <c r="U25" s="39" t="s">
        <v>58</v>
      </c>
      <c r="V25" s="39" t="s">
        <v>59</v>
      </c>
      <c r="W25" s="39" t="s">
        <v>60</v>
      </c>
      <c r="X25" s="33" t="s">
        <v>61</v>
      </c>
      <c r="Y25" s="33" t="s">
        <v>62</v>
      </c>
      <c r="Z25" s="34" t="s">
        <v>63</v>
      </c>
      <c r="AA25" s="77" t="s">
        <v>64</v>
      </c>
      <c r="AB25" s="36" t="s">
        <v>65</v>
      </c>
      <c r="AC25" s="36" t="s">
        <v>66</v>
      </c>
      <c r="AD25" s="77" t="s">
        <v>83</v>
      </c>
      <c r="AE25" s="77" t="s">
        <v>67</v>
      </c>
      <c r="AF25" s="36" t="s">
        <v>179</v>
      </c>
    </row>
    <row r="26" spans="1:36" x14ac:dyDescent="0.35">
      <c r="A26" s="40">
        <f>$F$9</f>
        <v>12</v>
      </c>
      <c r="B26" s="41">
        <f>IF(A26=1,0,B27+AD26+$F$18)</f>
        <v>49.599999999999987</v>
      </c>
      <c r="C26" s="41">
        <f>$F$10</f>
        <v>170</v>
      </c>
      <c r="D26" s="41">
        <f t="shared" ref="D26:D89" si="0">C26-$F$18*$L$10</f>
        <v>169.99199999999999</v>
      </c>
      <c r="E26" s="41">
        <f>C26+$F$14</f>
        <v>170.6</v>
      </c>
      <c r="F26" s="43">
        <v>0.6</v>
      </c>
      <c r="G26" s="119">
        <v>3.5</v>
      </c>
      <c r="H26" s="42">
        <f>C26+$F$16</f>
        <v>170.2</v>
      </c>
      <c r="I26" s="44">
        <v>0.6</v>
      </c>
      <c r="J26" s="42">
        <f>$F$12</f>
        <v>170.55789643636484</v>
      </c>
      <c r="K26" s="42">
        <f t="shared" ref="K26:K89" si="1">IF(A26=1,$F$13,J27)</f>
        <v>170.47259533688094</v>
      </c>
      <c r="L26" s="45">
        <f>J26-H26</f>
        <v>0.3578964363648538</v>
      </c>
      <c r="M26" s="45">
        <f>K26-H26</f>
        <v>0.27259533688095416</v>
      </c>
      <c r="N26" s="45">
        <f>P26-$F$20/9</f>
        <v>0.44170644799206371</v>
      </c>
      <c r="O26" s="45">
        <f>J26-C26</f>
        <v>0.55789643636484243</v>
      </c>
      <c r="P26" s="45">
        <f>K26-D26</f>
        <v>0.48059533688095257</v>
      </c>
      <c r="Q26" s="45">
        <f>((O26^(3/2)*SQRT(2*9.81)*($F$15-$F$17)*V26*0.55*2/3)^2/((9.81*($F$15-$F$17+0.0001)^2)))^(1/3)</f>
        <v>0.31183302540242114</v>
      </c>
      <c r="R26" s="45">
        <f>((L26^(3/2)*SQRT(2*9.81)*$F$17*U26*I26*2/3)^2/(9.81*(IF($F$17=0,0.000001,$F$17))^2))^(1/3)</f>
        <v>0.23656056103964662</v>
      </c>
      <c r="S26" s="45" t="str">
        <f>IF(AND(Q26&lt;P26,R26&lt;M26),"okay",IF(OR(Q26&lt;P26,R26&lt;M26),IF(F$17&lt;F$15,"tlw.okay","nicht okay"),"nicht okay"))</f>
        <v>okay</v>
      </c>
      <c r="T26" s="46">
        <f>J26-K26</f>
        <v>8.5301099483899634E-2</v>
      </c>
      <c r="U26" s="45">
        <f>IF(M26/L26&lt;0.5,1,IF(M26/L26&gt;1,0,1-(M26/L26)^11))</f>
        <v>0.94995375113848923</v>
      </c>
      <c r="V26" s="45">
        <f>IF(P26/O26&lt;0.5,1,IF(P26/O26&gt;1,0,1-(P26/O26)^11))</f>
        <v>0.8061411561163967</v>
      </c>
      <c r="W26" s="45">
        <f>IF((K26-E26)/(J26-E26+0.000001)&lt;0.5,1,IF((K26-E26)/(J26-E26+0.000001)&gt;1,0,1-((K26-E26)/(J26-E26))^11))</f>
        <v>0</v>
      </c>
      <c r="X26" s="45">
        <f t="shared" ref="X26:X89" si="2">IF(J26&gt;E26,SQRT(2*9.81)*SQRT((J26-E26)^3)*F26*G26*W26*2/3,0)</f>
        <v>0</v>
      </c>
      <c r="Y26" s="47">
        <f>IF(L26&gt;0,L26^(3/2)*SQRT(2*9.81)*$F$17*U26*I26*2/3*$F$22,0)+O26^(3/2)*SQRT(2*9.81)*($F$15-$F$17)*V26*0.55*2/3*$F$22+X26</f>
        <v>0.29896497579283565</v>
      </c>
      <c r="Z26" s="48">
        <f t="shared" ref="Z26:Z89" si="3">(2*9.81*T26)^0.5</f>
        <v>1.2936798567938324</v>
      </c>
      <c r="AA26" s="49">
        <f t="shared" ref="AA26:AA89" si="4">IF(A26=1," ",9810*T26*Y26/(AC26*AD26))</f>
        <v>35.500817218568471</v>
      </c>
      <c r="AB26" s="45">
        <f t="shared" ref="AB26:AB89" si="5">IF(A26=1," ",((K26-D26)+(J27-C27))/2)</f>
        <v>0.52168624597184987</v>
      </c>
      <c r="AC26" s="48">
        <f t="shared" ref="AC26:AC89" si="6">IF(A26=1," ",(((K26-D26)*($F$19+(K26-D26)*$F$21)+(J27-C27)*($F$19+(J27-C27)*$F$21))/2))</f>
        <v>1.7149831179988015</v>
      </c>
      <c r="AD26" s="48">
        <f>IF(A26=1," ",($F$8-$F$18)/($F$9-1)-$F$18)</f>
        <v>4.1090909090909085</v>
      </c>
      <c r="AE26" s="48">
        <f t="shared" ref="AE26:AE89" si="7">IF(A26=1," ",Y26/AC26)</f>
        <v>0.17432531705717033</v>
      </c>
      <c r="AF26" s="48" t="str">
        <f t="shared" ref="AF26:AF31" si="8">IF(A26=1," ",IF(OR((J26-C26)&lt;1.5*$F$14,(J26-C26)=1.5*$F$14),"Okay","Achtung!"))</f>
        <v>Okay</v>
      </c>
    </row>
    <row r="27" spans="1:36" x14ac:dyDescent="0.35">
      <c r="A27" s="40">
        <f>A26-1</f>
        <v>11</v>
      </c>
      <c r="B27" s="41">
        <f t="shared" ref="B27:B90" si="9">IF(A27=1,0,B28+AD27+$F$18)</f>
        <v>45.090909090909079</v>
      </c>
      <c r="C27" s="41">
        <f t="shared" ref="C27:C90" si="10">C26-((AD26+$F$18)*$L$10)</f>
        <v>169.9098181818182</v>
      </c>
      <c r="D27" s="41">
        <f t="shared" si="0"/>
        <v>169.90181818181819</v>
      </c>
      <c r="E27" s="41">
        <f>C27+$F$14</f>
        <v>170.50981818181819</v>
      </c>
      <c r="F27" s="43">
        <f>F26</f>
        <v>0.6</v>
      </c>
      <c r="G27" s="119">
        <v>3.5</v>
      </c>
      <c r="H27" s="41">
        <f>C27+$F$16</f>
        <v>170.10981818181818</v>
      </c>
      <c r="I27" s="51">
        <f>I26</f>
        <v>0.6</v>
      </c>
      <c r="J27" s="42">
        <f>K27+T27</f>
        <v>170.47259533688094</v>
      </c>
      <c r="K27" s="42">
        <f t="shared" si="1"/>
        <v>170.38659533688093</v>
      </c>
      <c r="L27" s="45">
        <f>J27-H27</f>
        <v>0.36277715506275854</v>
      </c>
      <c r="M27" s="45">
        <f>K27-H27</f>
        <v>0.27677715506274581</v>
      </c>
      <c r="N27" s="45">
        <f t="shared" ref="N27:N90" si="11">P27-$F$20/9</f>
        <v>0.44588826617385535</v>
      </c>
      <c r="O27" s="45">
        <f t="shared" ref="O27:P90" si="12">J27-C27</f>
        <v>0.56277715506274717</v>
      </c>
      <c r="P27" s="45">
        <f t="shared" si="12"/>
        <v>0.48477715506274421</v>
      </c>
      <c r="Q27" s="45">
        <f>((O27^(3/2)*SQRT(2*9.81)*($F$15-$F$17)*V27*0.55*2/3)^2/((9.81*($F$15-$F$17+0.0001)^2)))^(1/3)</f>
        <v>0.31458697106732819</v>
      </c>
      <c r="R27" s="45">
        <f t="shared" ref="R27:R90" si="13">((L27^(3/2)*SQRT(2*9.81)*$F$17*U27*I27*2/3)^2/(9.81*(IF($F$17=0,0.000001,$F$17))^2))^(1/3)</f>
        <v>0.23962956349318229</v>
      </c>
      <c r="S27" s="45" t="str">
        <f>IF(AND(Q27&lt;P27,R27&lt;M27),"okay",IF(OR(Q27&lt;P27,R27&lt;M27),IF(F$17&lt;F$15,"tlw.okay","nicht okay"),"nicht okay"))</f>
        <v>okay</v>
      </c>
      <c r="T27" s="98">
        <v>8.5999999999999993E-2</v>
      </c>
      <c r="U27" s="45">
        <f t="shared" ref="U27:U90" si="14">IF(M27/L27&lt;0.5,1,IF(M27/L27&gt;1,0,1-(M27/L27)^11))</f>
        <v>0.94902075336710778</v>
      </c>
      <c r="V27" s="45">
        <f t="shared" ref="V27:V90" si="15">IF(P27/O27&lt;0.5,1,IF(P27/O27&gt;1,0,1-(P27/O27)^11))</f>
        <v>0.80624070496659406</v>
      </c>
      <c r="W27" s="45">
        <f t="shared" ref="W27:W90" si="16">IF((K27-E27)/(J27-E27+0.000001)&lt;0.5,1,IF((K27-E27)/(J27-E27+0.000001)&gt;1,0,1-((K27-E27)/(J27-E27))^11))</f>
        <v>0</v>
      </c>
      <c r="X27" s="45">
        <f t="shared" si="2"/>
        <v>0</v>
      </c>
      <c r="Y27" s="47">
        <f>IF(L27&gt;0,L27^(3/2)*SQRT(2*9.81)*$F$17*U27*I27*2/3*$F$22,0)+O27^(3/2)*SQRT(2*9.81)*($F$15-$F$17)*V27*0.55*2/3*$F$22+X27</f>
        <v>0.30367703075595898</v>
      </c>
      <c r="Z27" s="45">
        <f t="shared" si="3"/>
        <v>1.2989688217967359</v>
      </c>
      <c r="AA27" s="49">
        <f t="shared" si="4"/>
        <v>35.998432272919359</v>
      </c>
      <c r="AB27" s="45">
        <f t="shared" si="5"/>
        <v>0.52586806415364151</v>
      </c>
      <c r="AC27" s="48">
        <f t="shared" si="6"/>
        <v>1.732008685944026</v>
      </c>
      <c r="AD27" s="48">
        <f>IF(A27=1," ",($F$8-$F$18)/($F$9-1)-$F$18)</f>
        <v>4.1090909090909085</v>
      </c>
      <c r="AE27" s="48">
        <f t="shared" si="7"/>
        <v>0.175332279347341</v>
      </c>
      <c r="AF27" s="48" t="str">
        <f t="shared" si="8"/>
        <v>Okay</v>
      </c>
      <c r="AJ27">
        <v>8.5999999999999993E-2</v>
      </c>
    </row>
    <row r="28" spans="1:36" x14ac:dyDescent="0.35">
      <c r="A28" s="40">
        <f t="shared" ref="A28:A91" si="17">A27-1</f>
        <v>10</v>
      </c>
      <c r="B28" s="41">
        <f t="shared" si="9"/>
        <v>40.581818181818171</v>
      </c>
      <c r="C28" s="41">
        <f t="shared" si="10"/>
        <v>169.81963636363639</v>
      </c>
      <c r="D28" s="41">
        <f t="shared" si="0"/>
        <v>169.81163636363638</v>
      </c>
      <c r="E28" s="41">
        <f t="shared" ref="E28:E91" si="18">C28+$F$14</f>
        <v>170.41963636363639</v>
      </c>
      <c r="F28" s="43">
        <f t="shared" ref="F28:F91" si="19">F27</f>
        <v>0.6</v>
      </c>
      <c r="G28" s="119">
        <v>3.5</v>
      </c>
      <c r="H28" s="41">
        <f t="shared" ref="H28:H91" si="20">C28+$F$16</f>
        <v>170.01963636363638</v>
      </c>
      <c r="I28" s="51">
        <f t="shared" ref="I28:I91" si="21">I27</f>
        <v>0.6</v>
      </c>
      <c r="J28" s="42">
        <f t="shared" ref="J28:J91" si="22">K28+T28</f>
        <v>170.38659533688093</v>
      </c>
      <c r="K28" s="42">
        <f t="shared" si="1"/>
        <v>170.30649211667276</v>
      </c>
      <c r="L28" s="45">
        <f t="shared" ref="L28:L91" si="23">J28-H28</f>
        <v>0.36695897324455018</v>
      </c>
      <c r="M28" s="45">
        <f t="shared" ref="M28:M91" si="24">K28-H28</f>
        <v>0.28685575303637734</v>
      </c>
      <c r="N28" s="45">
        <f t="shared" si="11"/>
        <v>0.45596686414748688</v>
      </c>
      <c r="O28" s="45">
        <f t="shared" si="12"/>
        <v>0.56695897324453881</v>
      </c>
      <c r="P28" s="45">
        <f t="shared" si="12"/>
        <v>0.49485575303637575</v>
      </c>
      <c r="Q28" s="45">
        <f t="shared" ref="Q28:Q91" si="25">((O28^(3/2)*SQRT(2*9.81)*($F$15-$F$17)*V28*0.55*2/3)^2/((9.81*($F$15-$F$17+0.0001)^2)))^(1/3)</f>
        <v>0.30895631518135985</v>
      </c>
      <c r="R28" s="45">
        <f t="shared" si="13"/>
        <v>0.23972380573226801</v>
      </c>
      <c r="S28" s="45" t="str">
        <f t="shared" ref="S28:S91" si="26">IF(AND(Q28&lt;P28,R28&lt;M28),"okay",IF(OR(Q28&lt;P28,R28&lt;M28),IF(F$17&lt;F$15,"tlw.okay","nicht okay"),"nicht okay"))</f>
        <v>okay</v>
      </c>
      <c r="T28" s="98">
        <v>8.0103220208162976E-2</v>
      </c>
      <c r="U28" s="45">
        <f t="shared" si="14"/>
        <v>0.93339503940648894</v>
      </c>
      <c r="V28" s="45">
        <f t="shared" si="15"/>
        <v>0.7760263673968314</v>
      </c>
      <c r="W28" s="45">
        <f t="shared" si="16"/>
        <v>0</v>
      </c>
      <c r="X28" s="45">
        <f t="shared" si="2"/>
        <v>0</v>
      </c>
      <c r="Y28" s="47">
        <f>IF(L28&gt;0,L28^(3/2)*SQRT(2*9.81)*$F$17*U28*I28*2/3*$F$22,0)+O28^(3/2)*SQRT(2*9.81)*($F$15-$F$17)*V28*0.55*2/3*$F$22+X28</f>
        <v>0.29887260098350343</v>
      </c>
      <c r="Z28" s="45">
        <f t="shared" si="3"/>
        <v>1.2536447584878891</v>
      </c>
      <c r="AA28" s="49">
        <f t="shared" si="4"/>
        <v>32.232018946347388</v>
      </c>
      <c r="AB28" s="45">
        <f t="shared" si="5"/>
        <v>0.53594666212727304</v>
      </c>
      <c r="AC28" s="48">
        <f t="shared" si="6"/>
        <v>1.7732575865011051</v>
      </c>
      <c r="AD28" s="48">
        <f t="shared" ref="AD28:AD91" si="27">IF(A28=1," ",($F$8-$F$18)/($F$9-1)-$F$18)</f>
        <v>4.1090909090909085</v>
      </c>
      <c r="AE28" s="48">
        <f t="shared" si="7"/>
        <v>0.1685443802742852</v>
      </c>
      <c r="AF28" s="48" t="str">
        <f t="shared" si="8"/>
        <v>Okay</v>
      </c>
      <c r="AJ28">
        <v>8.5999999999999993E-2</v>
      </c>
    </row>
    <row r="29" spans="1:36" x14ac:dyDescent="0.35">
      <c r="A29" s="40">
        <f t="shared" si="17"/>
        <v>9</v>
      </c>
      <c r="B29" s="41">
        <f t="shared" si="9"/>
        <v>36.072727272727263</v>
      </c>
      <c r="C29" s="41">
        <f t="shared" si="10"/>
        <v>169.72945454545459</v>
      </c>
      <c r="D29" s="41">
        <f t="shared" si="0"/>
        <v>169.72145454545458</v>
      </c>
      <c r="E29" s="41">
        <f t="shared" si="18"/>
        <v>170.32945454545458</v>
      </c>
      <c r="F29" s="43">
        <f t="shared" si="19"/>
        <v>0.6</v>
      </c>
      <c r="G29" s="119">
        <v>3.5</v>
      </c>
      <c r="H29" s="41">
        <f t="shared" si="20"/>
        <v>169.92945454545458</v>
      </c>
      <c r="I29" s="51">
        <f t="shared" si="21"/>
        <v>0.6</v>
      </c>
      <c r="J29" s="42">
        <f t="shared" si="22"/>
        <v>170.30649211667276</v>
      </c>
      <c r="K29" s="42">
        <f t="shared" si="1"/>
        <v>170.23249211667274</v>
      </c>
      <c r="L29" s="45">
        <f t="shared" si="23"/>
        <v>0.37703757121818171</v>
      </c>
      <c r="M29" s="45">
        <f t="shared" si="24"/>
        <v>0.30303757121816943</v>
      </c>
      <c r="N29" s="45">
        <f t="shared" si="11"/>
        <v>0.47214868232927898</v>
      </c>
      <c r="O29" s="45">
        <f t="shared" si="12"/>
        <v>0.57703757121817034</v>
      </c>
      <c r="P29" s="45">
        <f t="shared" si="12"/>
        <v>0.51103757121816784</v>
      </c>
      <c r="Q29" s="45">
        <f t="shared" si="25"/>
        <v>0.30385223664197092</v>
      </c>
      <c r="R29" s="45">
        <f t="shared" si="13"/>
        <v>0.24210150472887049</v>
      </c>
      <c r="S29" s="45" t="str">
        <f t="shared" si="26"/>
        <v>okay</v>
      </c>
      <c r="T29" s="98">
        <v>7.3999999999999996E-2</v>
      </c>
      <c r="U29" s="45">
        <f t="shared" si="14"/>
        <v>0.90958711622327182</v>
      </c>
      <c r="V29" s="45">
        <f t="shared" si="15"/>
        <v>0.73713296220973867</v>
      </c>
      <c r="W29" s="45">
        <f t="shared" si="16"/>
        <v>0</v>
      </c>
      <c r="X29" s="45">
        <f t="shared" si="2"/>
        <v>0</v>
      </c>
      <c r="Y29" s="47">
        <f>IF(L29&gt;0,L29^(3/2)*SQRT(2*9.81)*$F$17*U29*I29*2/3*$F$22,0)+O29^(3/2)*SQRT(2*9.81)*($F$15-$F$17)*V29*0.55*2/3*$F$22+X29</f>
        <v>0.29630021142595248</v>
      </c>
      <c r="Z29" s="45">
        <f t="shared" si="3"/>
        <v>1.2049398325227696</v>
      </c>
      <c r="AA29" s="49">
        <f t="shared" si="4"/>
        <v>28.447241516538202</v>
      </c>
      <c r="AB29" s="45">
        <f t="shared" si="5"/>
        <v>0.55212848030906514</v>
      </c>
      <c r="AC29" s="48">
        <f t="shared" si="6"/>
        <v>1.8401226831401341</v>
      </c>
      <c r="AD29" s="48">
        <f t="shared" si="27"/>
        <v>4.1090909090909085</v>
      </c>
      <c r="AE29" s="48">
        <f t="shared" si="7"/>
        <v>0.16102198736027853</v>
      </c>
      <c r="AF29" s="48" t="str">
        <f t="shared" si="8"/>
        <v>Okay</v>
      </c>
      <c r="AJ29">
        <v>8.5999999999999993E-2</v>
      </c>
    </row>
    <row r="30" spans="1:36" x14ac:dyDescent="0.35">
      <c r="A30" s="40">
        <f t="shared" si="17"/>
        <v>8</v>
      </c>
      <c r="B30" s="41">
        <f t="shared" si="9"/>
        <v>31.563636363636355</v>
      </c>
      <c r="C30" s="41">
        <f t="shared" si="10"/>
        <v>169.63927272727278</v>
      </c>
      <c r="D30" s="41">
        <f t="shared" si="0"/>
        <v>169.63127272727277</v>
      </c>
      <c r="E30" s="41">
        <f t="shared" si="18"/>
        <v>170.23927272727278</v>
      </c>
      <c r="F30" s="43">
        <f t="shared" si="19"/>
        <v>0.6</v>
      </c>
      <c r="G30" s="119">
        <v>3.5</v>
      </c>
      <c r="H30" s="41">
        <f t="shared" si="20"/>
        <v>169.83927272727277</v>
      </c>
      <c r="I30" s="51">
        <f t="shared" si="21"/>
        <v>0.6</v>
      </c>
      <c r="J30" s="42">
        <f t="shared" si="22"/>
        <v>170.23249211667274</v>
      </c>
      <c r="K30" s="42">
        <f t="shared" si="1"/>
        <v>170.16232547450417</v>
      </c>
      <c r="L30" s="45">
        <f t="shared" si="23"/>
        <v>0.39321938939997381</v>
      </c>
      <c r="M30" s="45">
        <f t="shared" si="24"/>
        <v>0.32305274723140087</v>
      </c>
      <c r="N30" s="45">
        <f t="shared" si="11"/>
        <v>0.49216385834251042</v>
      </c>
      <c r="O30" s="45">
        <f t="shared" si="12"/>
        <v>0.59321938939996244</v>
      </c>
      <c r="P30" s="45">
        <f t="shared" si="12"/>
        <v>0.53105274723139928</v>
      </c>
      <c r="Q30" s="45">
        <f t="shared" si="25"/>
        <v>0.30296969945854973</v>
      </c>
      <c r="R30" s="45">
        <f t="shared" si="13"/>
        <v>0.24790513769119243</v>
      </c>
      <c r="S30" s="45" t="str">
        <f t="shared" si="26"/>
        <v>okay</v>
      </c>
      <c r="T30" s="98">
        <v>7.0166642168562623E-2</v>
      </c>
      <c r="U30" s="45">
        <f t="shared" si="14"/>
        <v>0.88491369263816733</v>
      </c>
      <c r="V30" s="45">
        <f t="shared" si="15"/>
        <v>0.70409960440551256</v>
      </c>
      <c r="W30" s="45">
        <f t="shared" si="16"/>
        <v>0</v>
      </c>
      <c r="X30" s="45">
        <f t="shared" si="2"/>
        <v>0</v>
      </c>
      <c r="Y30" s="47">
        <f t="shared" ref="Y30:Y93" si="28">IF(L30&gt;0,L30^(3/2)*SQRT(2*9.81)*$F$17*U30*I30*2/3*$F$22,0)+O30^(3/2)*SQRT(2*9.81)*($F$15-$F$17)*V30*0.55*2/3*$F$22+X30</f>
        <v>0.29999999973219682</v>
      </c>
      <c r="Z30" s="45">
        <f t="shared" si="3"/>
        <v>1.1733156094364374</v>
      </c>
      <c r="AA30" s="49">
        <f t="shared" si="4"/>
        <v>26.120979907367087</v>
      </c>
      <c r="AB30" s="45">
        <f t="shared" si="5"/>
        <v>0.57214365632229658</v>
      </c>
      <c r="AC30" s="48">
        <f t="shared" si="6"/>
        <v>1.9239143802253853</v>
      </c>
      <c r="AD30" s="48">
        <f t="shared" si="27"/>
        <v>4.1090909090909085</v>
      </c>
      <c r="AE30" s="48">
        <f t="shared" si="7"/>
        <v>0.15593209490801355</v>
      </c>
      <c r="AF30" s="48" t="str">
        <f t="shared" si="8"/>
        <v>Okay</v>
      </c>
      <c r="AJ30">
        <v>8.5999999999999993E-2</v>
      </c>
    </row>
    <row r="31" spans="1:36" x14ac:dyDescent="0.35">
      <c r="A31" s="40">
        <f t="shared" si="17"/>
        <v>7</v>
      </c>
      <c r="B31" s="41">
        <f>IF(A31=1,0,B32+AD31+$F$18)</f>
        <v>27.054545454545448</v>
      </c>
      <c r="C31" s="41">
        <f t="shared" si="10"/>
        <v>169.54909090909098</v>
      </c>
      <c r="D31" s="41">
        <f t="shared" si="0"/>
        <v>169.54109090909097</v>
      </c>
      <c r="E31" s="41">
        <f t="shared" si="18"/>
        <v>170.14909090909097</v>
      </c>
      <c r="F31" s="43">
        <f t="shared" si="19"/>
        <v>0.6</v>
      </c>
      <c r="G31" s="119">
        <v>3.5</v>
      </c>
      <c r="H31" s="41">
        <f t="shared" si="20"/>
        <v>169.74909090909097</v>
      </c>
      <c r="I31" s="51">
        <f t="shared" si="21"/>
        <v>0.6</v>
      </c>
      <c r="J31" s="42">
        <f t="shared" si="22"/>
        <v>170.16232547450417</v>
      </c>
      <c r="K31" s="42">
        <f t="shared" si="1"/>
        <v>170.10136568841224</v>
      </c>
      <c r="L31" s="45">
        <f t="shared" si="23"/>
        <v>0.41323456541320525</v>
      </c>
      <c r="M31" s="45">
        <f t="shared" si="24"/>
        <v>0.35227477932127726</v>
      </c>
      <c r="N31" s="45">
        <f t="shared" si="11"/>
        <v>0.52138589043238681</v>
      </c>
      <c r="O31" s="45">
        <f t="shared" si="12"/>
        <v>0.61323456541319388</v>
      </c>
      <c r="P31" s="45">
        <f t="shared" si="12"/>
        <v>0.56027477932127567</v>
      </c>
      <c r="Q31" s="45">
        <f t="shared" si="25"/>
        <v>0.29073044978376456</v>
      </c>
      <c r="R31" s="45">
        <f t="shared" si="13"/>
        <v>0.24907014437264277</v>
      </c>
      <c r="S31" s="45" t="str">
        <f t="shared" si="26"/>
        <v>okay</v>
      </c>
      <c r="T31" s="98">
        <v>6.0959786091929535E-2</v>
      </c>
      <c r="U31" s="45">
        <f t="shared" si="14"/>
        <v>0.82720386996264716</v>
      </c>
      <c r="V31" s="45">
        <f t="shared" si="15"/>
        <v>0.62972966658053497</v>
      </c>
      <c r="W31" s="45">
        <f t="shared" si="16"/>
        <v>1</v>
      </c>
      <c r="X31" s="45">
        <f t="shared" si="2"/>
        <v>9.441523195942705E-3</v>
      </c>
      <c r="Y31" s="47">
        <f t="shared" si="28"/>
        <v>0.29999999659752435</v>
      </c>
      <c r="Z31" s="45">
        <f t="shared" si="3"/>
        <v>1.093632023636679</v>
      </c>
      <c r="AA31" s="49">
        <f t="shared" si="4"/>
        <v>21.314320347096206</v>
      </c>
      <c r="AB31" s="45">
        <f t="shared" si="5"/>
        <v>0.60136568841217297</v>
      </c>
      <c r="AC31" s="48">
        <f t="shared" si="6"/>
        <v>2.0484079520444771</v>
      </c>
      <c r="AD31" s="48">
        <f t="shared" si="27"/>
        <v>4.1090909090909085</v>
      </c>
      <c r="AE31" s="48">
        <f t="shared" si="7"/>
        <v>0.14645520014609398</v>
      </c>
      <c r="AF31" s="48" t="str">
        <f t="shared" si="8"/>
        <v>Okay</v>
      </c>
      <c r="AJ31">
        <v>8.5999999999999993E-2</v>
      </c>
    </row>
    <row r="32" spans="1:36" x14ac:dyDescent="0.35">
      <c r="A32" s="40">
        <f t="shared" si="17"/>
        <v>6</v>
      </c>
      <c r="B32" s="41">
        <f t="shared" si="9"/>
        <v>22.54545454545454</v>
      </c>
      <c r="C32" s="41">
        <f t="shared" si="10"/>
        <v>169.45890909090917</v>
      </c>
      <c r="D32" s="41">
        <f t="shared" si="0"/>
        <v>169.45090909090916</v>
      </c>
      <c r="E32" s="41">
        <f t="shared" si="18"/>
        <v>170.05890909090917</v>
      </c>
      <c r="F32" s="43">
        <f t="shared" si="19"/>
        <v>0.6</v>
      </c>
      <c r="G32" s="119">
        <v>3.5</v>
      </c>
      <c r="H32" s="41">
        <f t="shared" si="20"/>
        <v>169.65890909090916</v>
      </c>
      <c r="I32" s="51">
        <f t="shared" si="21"/>
        <v>0.6</v>
      </c>
      <c r="J32" s="42">
        <f t="shared" si="22"/>
        <v>170.10136568841224</v>
      </c>
      <c r="K32" s="42">
        <f t="shared" si="1"/>
        <v>170.05774876431926</v>
      </c>
      <c r="L32" s="45">
        <f t="shared" si="23"/>
        <v>0.44245659750308164</v>
      </c>
      <c r="M32" s="45">
        <f t="shared" si="24"/>
        <v>0.39883967341009452</v>
      </c>
      <c r="N32" s="45">
        <f t="shared" si="11"/>
        <v>0.56795078452120407</v>
      </c>
      <c r="O32" s="45">
        <f t="shared" si="12"/>
        <v>0.64245659750307027</v>
      </c>
      <c r="P32" s="45">
        <f t="shared" si="12"/>
        <v>0.60683967341009293</v>
      </c>
      <c r="Q32" s="45">
        <f t="shared" si="25"/>
        <v>0.24919309941369874</v>
      </c>
      <c r="R32" s="45">
        <f t="shared" si="13"/>
        <v>0.23418340018462974</v>
      </c>
      <c r="S32" s="45" t="str">
        <f t="shared" si="26"/>
        <v>okay</v>
      </c>
      <c r="T32" s="98">
        <v>4.3616924092993913E-2</v>
      </c>
      <c r="U32" s="45">
        <f t="shared" si="14"/>
        <v>0.68069593796845229</v>
      </c>
      <c r="V32" s="45">
        <f t="shared" si="15"/>
        <v>0.4660115064491277</v>
      </c>
      <c r="W32" s="45">
        <f t="shared" si="16"/>
        <v>1</v>
      </c>
      <c r="X32" s="45">
        <f t="shared" si="2"/>
        <v>5.4249447201671956E-2</v>
      </c>
      <c r="Y32" s="47">
        <f t="shared" si="28"/>
        <v>0.29999999999536997</v>
      </c>
      <c r="Z32" s="45">
        <f t="shared" si="3"/>
        <v>0.92507515948950902</v>
      </c>
      <c r="AA32" s="49">
        <f t="shared" si="4"/>
        <v>13.871253020670693</v>
      </c>
      <c r="AB32" s="45">
        <f t="shared" si="5"/>
        <v>0.64793058250099023</v>
      </c>
      <c r="AC32" s="48">
        <f t="shared" si="6"/>
        <v>2.2520802100774588</v>
      </c>
      <c r="AD32" s="48">
        <f t="shared" si="27"/>
        <v>4.1090909090909085</v>
      </c>
      <c r="AE32" s="48">
        <f t="shared" si="7"/>
        <v>0.13321017548706743</v>
      </c>
      <c r="AF32" s="48" t="str">
        <f>IF(A32=1," ",IF(OR((J32-C32)&lt;1.5*$F$14,(J32-C32)=1.5*$F$14),"Okay","Achtung!"))</f>
        <v>Okay</v>
      </c>
      <c r="AJ32">
        <v>8.5999999999999993E-2</v>
      </c>
    </row>
    <row r="33" spans="1:36" x14ac:dyDescent="0.35">
      <c r="A33" s="40">
        <f t="shared" si="17"/>
        <v>5</v>
      </c>
      <c r="B33" s="41">
        <f t="shared" si="9"/>
        <v>18.036363636363632</v>
      </c>
      <c r="C33" s="41">
        <f t="shared" si="10"/>
        <v>169.36872727272737</v>
      </c>
      <c r="D33" s="41">
        <f t="shared" si="0"/>
        <v>169.36072727272736</v>
      </c>
      <c r="E33" s="41">
        <f t="shared" si="18"/>
        <v>169.96872727272736</v>
      </c>
      <c r="F33" s="43">
        <f t="shared" si="19"/>
        <v>0.6</v>
      </c>
      <c r="G33" s="119">
        <v>3.5</v>
      </c>
      <c r="H33" s="41">
        <f t="shared" si="20"/>
        <v>169.56872727272736</v>
      </c>
      <c r="I33" s="51">
        <f t="shared" si="21"/>
        <v>0.6</v>
      </c>
      <c r="J33" s="42">
        <f t="shared" si="22"/>
        <v>170.05774876431926</v>
      </c>
      <c r="K33" s="42">
        <f t="shared" si="1"/>
        <v>170.03560550256799</v>
      </c>
      <c r="L33" s="45">
        <f t="shared" si="23"/>
        <v>0.48902149159189889</v>
      </c>
      <c r="M33" s="45">
        <f t="shared" si="24"/>
        <v>0.46687822984063132</v>
      </c>
      <c r="N33" s="45">
        <f t="shared" si="11"/>
        <v>0.63598934095174087</v>
      </c>
      <c r="O33" s="45">
        <f t="shared" si="12"/>
        <v>0.68902149159188752</v>
      </c>
      <c r="P33" s="45">
        <f t="shared" si="12"/>
        <v>0.67487822984062973</v>
      </c>
      <c r="Q33" s="45">
        <f t="shared" si="25"/>
        <v>0.15407476028588282</v>
      </c>
      <c r="R33" s="45">
        <f t="shared" si="13"/>
        <v>0.18138556778814707</v>
      </c>
      <c r="S33" s="45" t="str">
        <f t="shared" si="26"/>
        <v>okay</v>
      </c>
      <c r="T33" s="98">
        <v>2.2143261751272285E-2</v>
      </c>
      <c r="U33" s="45">
        <f t="shared" si="14"/>
        <v>0.39933482453483304</v>
      </c>
      <c r="V33" s="45">
        <f t="shared" si="15"/>
        <v>0.20398884121734606</v>
      </c>
      <c r="W33" s="45">
        <f t="shared" si="16"/>
        <v>0.95697816504428701</v>
      </c>
      <c r="X33" s="45">
        <f t="shared" si="2"/>
        <v>0.15762382645325967</v>
      </c>
      <c r="Y33" s="47">
        <f t="shared" si="28"/>
        <v>0.29999999998460319</v>
      </c>
      <c r="Z33" s="45">
        <f t="shared" si="3"/>
        <v>0.65912881560432646</v>
      </c>
      <c r="AA33" s="49">
        <f t="shared" si="4"/>
        <v>6.19174747949869</v>
      </c>
      <c r="AB33" s="45">
        <f t="shared" si="5"/>
        <v>0.71596913893152703</v>
      </c>
      <c r="AC33" s="48">
        <f t="shared" si="6"/>
        <v>2.5613732533972202</v>
      </c>
      <c r="AD33" s="48">
        <f t="shared" si="27"/>
        <v>4.1090909090909085</v>
      </c>
      <c r="AE33" s="48">
        <f t="shared" si="7"/>
        <v>0.11712467114533381</v>
      </c>
      <c r="AF33" s="48" t="str">
        <f t="shared" ref="AF33:AF96" si="29">IF(A33=1," ",IF(OR((J33-C33)&lt;1.5*$F$14,(J33-C33)=1.5*$F$14),"Okay","Achtung!"))</f>
        <v>Okay</v>
      </c>
      <c r="AJ33">
        <v>8.5999999999999993E-2</v>
      </c>
    </row>
    <row r="34" spans="1:36" x14ac:dyDescent="0.35">
      <c r="A34" s="40">
        <f t="shared" si="17"/>
        <v>4</v>
      </c>
      <c r="B34" s="41">
        <f t="shared" si="9"/>
        <v>13.527272727272726</v>
      </c>
      <c r="C34" s="41">
        <f t="shared" si="10"/>
        <v>169.27854545454557</v>
      </c>
      <c r="D34" s="41">
        <f t="shared" si="0"/>
        <v>169.27054545454556</v>
      </c>
      <c r="E34" s="41">
        <f t="shared" si="18"/>
        <v>169.87854545454556</v>
      </c>
      <c r="F34" s="43">
        <f t="shared" si="19"/>
        <v>0.6</v>
      </c>
      <c r="G34" s="119">
        <v>3.5</v>
      </c>
      <c r="H34" s="41">
        <f t="shared" si="20"/>
        <v>169.47854545454555</v>
      </c>
      <c r="I34" s="51">
        <f t="shared" si="21"/>
        <v>0.6</v>
      </c>
      <c r="J34" s="42">
        <f t="shared" si="22"/>
        <v>170.03560550256799</v>
      </c>
      <c r="K34" s="42">
        <f t="shared" si="1"/>
        <v>170.02344916766268</v>
      </c>
      <c r="L34" s="45">
        <f t="shared" si="23"/>
        <v>0.55706004802243569</v>
      </c>
      <c r="M34" s="45">
        <f t="shared" si="24"/>
        <v>0.54490371311712238</v>
      </c>
      <c r="N34" s="45">
        <f t="shared" si="11"/>
        <v>0.71401482422823193</v>
      </c>
      <c r="O34" s="45">
        <f t="shared" si="12"/>
        <v>0.75706004802242433</v>
      </c>
      <c r="P34" s="45">
        <f t="shared" si="12"/>
        <v>0.75290371311712079</v>
      </c>
      <c r="Q34" s="45">
        <f t="shared" si="25"/>
        <v>7.3838175568415446E-2</v>
      </c>
      <c r="R34" s="45">
        <f t="shared" si="13"/>
        <v>0.13695497078710472</v>
      </c>
      <c r="S34" s="45" t="str">
        <f t="shared" si="26"/>
        <v>okay</v>
      </c>
      <c r="T34" s="98">
        <v>1.2156334905319074E-2</v>
      </c>
      <c r="U34" s="45">
        <f t="shared" si="14"/>
        <v>0.21549574128004234</v>
      </c>
      <c r="V34" s="45">
        <f t="shared" si="15"/>
        <v>5.8760334114936752E-2</v>
      </c>
      <c r="W34" s="45">
        <f t="shared" si="16"/>
        <v>0.58775853558372582</v>
      </c>
      <c r="X34" s="45">
        <f t="shared" si="2"/>
        <v>0.22686895511943517</v>
      </c>
      <c r="Y34" s="47">
        <f t="shared" si="28"/>
        <v>0.30000000000771149</v>
      </c>
      <c r="Z34" s="45">
        <f t="shared" si="3"/>
        <v>0.48837208237404423</v>
      </c>
      <c r="AA34" s="49">
        <f t="shared" si="4"/>
        <v>2.9683243165271791</v>
      </c>
      <c r="AB34" s="45">
        <f t="shared" si="5"/>
        <v>0.79399462220801809</v>
      </c>
      <c r="AC34" s="48">
        <f t="shared" si="6"/>
        <v>2.9331604398778</v>
      </c>
      <c r="AD34" s="48">
        <f t="shared" si="27"/>
        <v>4.1090909090909085</v>
      </c>
      <c r="AE34" s="48">
        <f t="shared" si="7"/>
        <v>0.10227875568245764</v>
      </c>
      <c r="AF34" s="48" t="str">
        <f t="shared" si="29"/>
        <v>Okay</v>
      </c>
      <c r="AJ34">
        <v>8.5999999999999993E-2</v>
      </c>
    </row>
    <row r="35" spans="1:36" x14ac:dyDescent="0.35">
      <c r="A35" s="40">
        <f t="shared" si="17"/>
        <v>3</v>
      </c>
      <c r="B35" s="41">
        <f t="shared" si="9"/>
        <v>9.0181818181818176</v>
      </c>
      <c r="C35" s="41">
        <f t="shared" si="10"/>
        <v>169.18836363636376</v>
      </c>
      <c r="D35" s="41">
        <f t="shared" si="0"/>
        <v>169.18036363636375</v>
      </c>
      <c r="E35" s="41">
        <f t="shared" si="18"/>
        <v>169.78836363636375</v>
      </c>
      <c r="F35" s="43">
        <f t="shared" si="19"/>
        <v>0.6</v>
      </c>
      <c r="G35" s="119">
        <v>3.5</v>
      </c>
      <c r="H35" s="41">
        <f t="shared" si="20"/>
        <v>169.38836363636375</v>
      </c>
      <c r="I35" s="51">
        <f t="shared" si="21"/>
        <v>0.6</v>
      </c>
      <c r="J35" s="42">
        <f t="shared" si="22"/>
        <v>170.02344916766268</v>
      </c>
      <c r="K35" s="42">
        <f t="shared" si="1"/>
        <v>170.01429650952983</v>
      </c>
      <c r="L35" s="45">
        <f t="shared" si="23"/>
        <v>0.63508553129892675</v>
      </c>
      <c r="M35" s="45">
        <f t="shared" si="24"/>
        <v>0.62593287316607871</v>
      </c>
      <c r="N35" s="45">
        <f t="shared" si="11"/>
        <v>0.79504398427718825</v>
      </c>
      <c r="O35" s="45">
        <f t="shared" si="12"/>
        <v>0.83508553129891538</v>
      </c>
      <c r="P35" s="45">
        <f t="shared" si="12"/>
        <v>0.83393287316607712</v>
      </c>
      <c r="Q35" s="45">
        <f t="shared" si="25"/>
        <v>3.2890473432005844E-2</v>
      </c>
      <c r="R35" s="45">
        <f t="shared" si="13"/>
        <v>0.121313971710494</v>
      </c>
      <c r="S35" s="45" t="str">
        <f t="shared" si="26"/>
        <v>okay</v>
      </c>
      <c r="T35" s="98">
        <v>9.1526581328445662E-3</v>
      </c>
      <c r="U35" s="45">
        <f t="shared" si="14"/>
        <v>0.14758523629115472</v>
      </c>
      <c r="V35" s="45">
        <f t="shared" si="15"/>
        <v>1.5078809723516717E-2</v>
      </c>
      <c r="W35" s="45">
        <f t="shared" si="16"/>
        <v>0.35391632033164733</v>
      </c>
      <c r="X35" s="45">
        <f t="shared" si="2"/>
        <v>0.25015948726350862</v>
      </c>
      <c r="Y35" s="47">
        <f t="shared" si="28"/>
        <v>0.3000000000063805</v>
      </c>
      <c r="Z35" s="45">
        <f t="shared" si="3"/>
        <v>0.42376308542204383</v>
      </c>
      <c r="AA35" s="49">
        <f t="shared" si="4"/>
        <v>1.9634886484371614</v>
      </c>
      <c r="AB35" s="45">
        <f t="shared" si="5"/>
        <v>0.87502378225697441</v>
      </c>
      <c r="AC35" s="48">
        <f t="shared" si="6"/>
        <v>3.3385920791302621</v>
      </c>
      <c r="AD35" s="48">
        <f t="shared" si="27"/>
        <v>4.1090909090909085</v>
      </c>
      <c r="AE35" s="48">
        <f t="shared" si="7"/>
        <v>8.9858237513261455E-2</v>
      </c>
      <c r="AF35" s="48" t="str">
        <f t="shared" si="29"/>
        <v>Okay</v>
      </c>
      <c r="AJ35">
        <v>8.5999999999999993E-2</v>
      </c>
    </row>
    <row r="36" spans="1:36" x14ac:dyDescent="0.35">
      <c r="A36" s="40">
        <f t="shared" si="17"/>
        <v>2</v>
      </c>
      <c r="B36" s="41">
        <f t="shared" si="9"/>
        <v>4.5090909090909088</v>
      </c>
      <c r="C36" s="41">
        <f t="shared" si="10"/>
        <v>169.09818181818196</v>
      </c>
      <c r="D36" s="41">
        <f t="shared" si="0"/>
        <v>169.09018181818195</v>
      </c>
      <c r="E36" s="41">
        <f t="shared" si="18"/>
        <v>169.69818181818195</v>
      </c>
      <c r="F36" s="43">
        <f t="shared" si="19"/>
        <v>0.6</v>
      </c>
      <c r="G36" s="119">
        <v>3.5</v>
      </c>
      <c r="H36" s="41">
        <f t="shared" si="20"/>
        <v>169.29818181818194</v>
      </c>
      <c r="I36" s="51">
        <f t="shared" si="21"/>
        <v>0.6</v>
      </c>
      <c r="J36" s="42">
        <f t="shared" si="22"/>
        <v>170.01429650952983</v>
      </c>
      <c r="K36" s="42">
        <f t="shared" si="1"/>
        <v>170.00664173840832</v>
      </c>
      <c r="L36" s="45">
        <f t="shared" si="23"/>
        <v>0.71611469134788308</v>
      </c>
      <c r="M36" s="45">
        <f t="shared" si="24"/>
        <v>0.70845992022637461</v>
      </c>
      <c r="N36" s="45">
        <f t="shared" si="11"/>
        <v>0.87757103133748415</v>
      </c>
      <c r="O36" s="45">
        <f t="shared" si="12"/>
        <v>0.91611469134787171</v>
      </c>
      <c r="P36" s="45">
        <f t="shared" si="12"/>
        <v>0.91645992022637301</v>
      </c>
      <c r="Q36" s="45">
        <f t="shared" si="25"/>
        <v>0</v>
      </c>
      <c r="R36" s="45">
        <f t="shared" si="13"/>
        <v>0.1134671904134946</v>
      </c>
      <c r="S36" s="45" t="str">
        <f t="shared" si="26"/>
        <v>okay</v>
      </c>
      <c r="T36" s="98">
        <v>7.6547711214974747E-3</v>
      </c>
      <c r="U36" s="45">
        <f t="shared" si="14"/>
        <v>0.11149530696736243</v>
      </c>
      <c r="V36" s="45">
        <f t="shared" si="15"/>
        <v>0</v>
      </c>
      <c r="W36" s="45">
        <f t="shared" si="16"/>
        <v>0.2363494288229927</v>
      </c>
      <c r="X36" s="45">
        <f t="shared" si="2"/>
        <v>0.26049483359727515</v>
      </c>
      <c r="Y36" s="47">
        <f t="shared" si="28"/>
        <v>0.30000000000965743</v>
      </c>
      <c r="Z36" s="45">
        <f t="shared" si="3"/>
        <v>0.38753917144435923</v>
      </c>
      <c r="AA36" s="49">
        <f t="shared" si="4"/>
        <v>1.4535570383285994</v>
      </c>
      <c r="AB36" s="45">
        <f t="shared" si="5"/>
        <v>0.95755082931727031</v>
      </c>
      <c r="AC36" s="48">
        <f t="shared" si="6"/>
        <v>3.7717651535973387</v>
      </c>
      <c r="AD36" s="48">
        <f t="shared" si="27"/>
        <v>4.1090909090909085</v>
      </c>
      <c r="AE36" s="48">
        <f t="shared" si="7"/>
        <v>7.9538356125786636E-2</v>
      </c>
      <c r="AF36" s="48" t="str">
        <f t="shared" si="29"/>
        <v>Achtung!</v>
      </c>
      <c r="AJ36">
        <v>8.5999999999999993E-2</v>
      </c>
    </row>
    <row r="37" spans="1:36" x14ac:dyDescent="0.35">
      <c r="A37" s="40">
        <f t="shared" si="17"/>
        <v>1</v>
      </c>
      <c r="B37" s="41">
        <f t="shared" si="9"/>
        <v>0</v>
      </c>
      <c r="C37" s="41">
        <f t="shared" si="10"/>
        <v>169.00800000000015</v>
      </c>
      <c r="D37" s="41">
        <f t="shared" si="0"/>
        <v>169.00000000000014</v>
      </c>
      <c r="E37" s="41">
        <f t="shared" si="18"/>
        <v>169.60800000000015</v>
      </c>
      <c r="F37" s="43">
        <f t="shared" si="19"/>
        <v>0.6</v>
      </c>
      <c r="G37" s="119">
        <v>3.5</v>
      </c>
      <c r="H37" s="41">
        <f t="shared" si="20"/>
        <v>169.20800000000014</v>
      </c>
      <c r="I37" s="51">
        <f t="shared" si="21"/>
        <v>0.6</v>
      </c>
      <c r="J37" s="42">
        <f t="shared" si="22"/>
        <v>170.00664173840832</v>
      </c>
      <c r="K37" s="42">
        <f t="shared" si="1"/>
        <v>170</v>
      </c>
      <c r="L37" s="45">
        <f t="shared" si="23"/>
        <v>0.79864173840817898</v>
      </c>
      <c r="M37" s="45">
        <f t="shared" si="24"/>
        <v>0.79199999999985948</v>
      </c>
      <c r="N37" s="45">
        <f t="shared" si="11"/>
        <v>0.96111111111096903</v>
      </c>
      <c r="O37" s="45">
        <f t="shared" si="12"/>
        <v>0.99864173840816761</v>
      </c>
      <c r="P37" s="45">
        <f t="shared" si="12"/>
        <v>0.99999999999985789</v>
      </c>
      <c r="Q37" s="45">
        <f t="shared" si="25"/>
        <v>0</v>
      </c>
      <c r="R37" s="45">
        <f t="shared" si="13"/>
        <v>0.10788519257262613</v>
      </c>
      <c r="S37" s="45" t="str">
        <f t="shared" si="26"/>
        <v>okay</v>
      </c>
      <c r="T37" s="98">
        <v>6.641738408333527E-3</v>
      </c>
      <c r="U37" s="45">
        <f t="shared" si="14"/>
        <v>8.7768720526623989E-2</v>
      </c>
      <c r="V37" s="45">
        <f t="shared" si="15"/>
        <v>0</v>
      </c>
      <c r="W37" s="45">
        <f t="shared" si="16"/>
        <v>0.1687411373460046</v>
      </c>
      <c r="X37" s="45">
        <f t="shared" si="2"/>
        <v>0.26337385544085906</v>
      </c>
      <c r="Y37" s="47">
        <f t="shared" si="28"/>
        <v>0.30000000000442972</v>
      </c>
      <c r="Z37" s="45">
        <f t="shared" si="3"/>
        <v>0.36098602129653695</v>
      </c>
      <c r="AA37" s="49" t="str">
        <f t="shared" si="4"/>
        <v xml:space="preserve"> </v>
      </c>
      <c r="AB37" s="45" t="str">
        <f t="shared" si="5"/>
        <v xml:space="preserve"> </v>
      </c>
      <c r="AC37" s="48" t="str">
        <f t="shared" si="6"/>
        <v xml:space="preserve"> </v>
      </c>
      <c r="AD37" s="48" t="str">
        <f t="shared" si="27"/>
        <v xml:space="preserve"> </v>
      </c>
      <c r="AE37" s="48" t="str">
        <f t="shared" si="7"/>
        <v xml:space="preserve"> </v>
      </c>
      <c r="AF37" s="48" t="str">
        <f t="shared" si="29"/>
        <v xml:space="preserve"> </v>
      </c>
      <c r="AJ37">
        <v>8.5999999999999993E-2</v>
      </c>
    </row>
    <row r="38" spans="1:36" x14ac:dyDescent="0.35">
      <c r="A38" s="40">
        <f t="shared" si="17"/>
        <v>0</v>
      </c>
      <c r="B38" s="41">
        <f t="shared" si="9"/>
        <v>393.49090909090864</v>
      </c>
      <c r="C38" s="41" t="e">
        <f t="shared" si="10"/>
        <v>#VALUE!</v>
      </c>
      <c r="D38" s="41" t="e">
        <f t="shared" si="0"/>
        <v>#VALUE!</v>
      </c>
      <c r="E38" s="41" t="e">
        <f t="shared" si="18"/>
        <v>#VALUE!</v>
      </c>
      <c r="F38" s="43">
        <f t="shared" si="19"/>
        <v>0.6</v>
      </c>
      <c r="G38" s="119">
        <v>4.5999999999999996</v>
      </c>
      <c r="H38" s="41" t="e">
        <f t="shared" si="20"/>
        <v>#VALUE!</v>
      </c>
      <c r="I38" s="51">
        <f t="shared" si="21"/>
        <v>0.6</v>
      </c>
      <c r="J38" s="42">
        <f t="shared" si="22"/>
        <v>4593.6523120443953</v>
      </c>
      <c r="K38" s="42">
        <f t="shared" si="1"/>
        <v>4593.5133834992776</v>
      </c>
      <c r="L38" s="45" t="e">
        <f t="shared" si="23"/>
        <v>#VALUE!</v>
      </c>
      <c r="M38" s="45" t="e">
        <f t="shared" si="24"/>
        <v>#VALUE!</v>
      </c>
      <c r="N38" s="45" t="e">
        <f t="shared" si="11"/>
        <v>#VALUE!</v>
      </c>
      <c r="O38" s="45" t="e">
        <f t="shared" si="12"/>
        <v>#VALUE!</v>
      </c>
      <c r="P38" s="45" t="e">
        <f t="shared" si="12"/>
        <v>#VALUE!</v>
      </c>
      <c r="Q38" s="45" t="e">
        <f t="shared" si="25"/>
        <v>#VALUE!</v>
      </c>
      <c r="R38" s="45" t="e">
        <f t="shared" si="13"/>
        <v>#VALUE!</v>
      </c>
      <c r="S38" s="45" t="e">
        <f t="shared" si="26"/>
        <v>#VALUE!</v>
      </c>
      <c r="T38" s="98">
        <v>0.13892854511791924</v>
      </c>
      <c r="U38" s="45" t="e">
        <f t="shared" si="14"/>
        <v>#VALUE!</v>
      </c>
      <c r="V38" s="45" t="e">
        <f t="shared" si="15"/>
        <v>#VALUE!</v>
      </c>
      <c r="W38" s="45" t="e">
        <f t="shared" si="16"/>
        <v>#VALUE!</v>
      </c>
      <c r="X38" s="45" t="e">
        <f t="shared" si="2"/>
        <v>#VALUE!</v>
      </c>
      <c r="Y38" s="47" t="e">
        <f t="shared" si="28"/>
        <v>#VALUE!</v>
      </c>
      <c r="Z38" s="45">
        <f t="shared" si="3"/>
        <v>1.6509930512311599</v>
      </c>
      <c r="AA38" s="49" t="e">
        <f t="shared" si="4"/>
        <v>#VALUE!</v>
      </c>
      <c r="AB38" s="45" t="e">
        <f t="shared" si="5"/>
        <v>#VALUE!</v>
      </c>
      <c r="AC38" s="48" t="e">
        <f t="shared" si="6"/>
        <v>#VALUE!</v>
      </c>
      <c r="AD38" s="48">
        <f t="shared" si="27"/>
        <v>4.1090909090909085</v>
      </c>
      <c r="AE38" s="48" t="e">
        <f t="shared" si="7"/>
        <v>#VALUE!</v>
      </c>
      <c r="AF38" s="48" t="e">
        <f t="shared" si="29"/>
        <v>#VALUE!</v>
      </c>
    </row>
    <row r="39" spans="1:36" x14ac:dyDescent="0.35">
      <c r="A39" s="40">
        <f t="shared" si="17"/>
        <v>-1</v>
      </c>
      <c r="B39" s="41">
        <f t="shared" si="9"/>
        <v>388.98181818181774</v>
      </c>
      <c r="C39" s="41" t="e">
        <f t="shared" si="10"/>
        <v>#VALUE!</v>
      </c>
      <c r="D39" s="41" t="e">
        <f t="shared" si="0"/>
        <v>#VALUE!</v>
      </c>
      <c r="E39" s="41" t="e">
        <f t="shared" si="18"/>
        <v>#VALUE!</v>
      </c>
      <c r="F39" s="43">
        <f t="shared" si="19"/>
        <v>0.6</v>
      </c>
      <c r="G39" s="119">
        <v>4.5999999999999996</v>
      </c>
      <c r="H39" s="41" t="e">
        <f t="shared" si="20"/>
        <v>#VALUE!</v>
      </c>
      <c r="I39" s="51">
        <f t="shared" si="21"/>
        <v>0.6</v>
      </c>
      <c r="J39" s="42">
        <f t="shared" si="22"/>
        <v>4593.5133834992776</v>
      </c>
      <c r="K39" s="42">
        <f t="shared" si="1"/>
        <v>4593.3744554777059</v>
      </c>
      <c r="L39" s="45" t="e">
        <f t="shared" si="23"/>
        <v>#VALUE!</v>
      </c>
      <c r="M39" s="45" t="e">
        <f t="shared" si="24"/>
        <v>#VALUE!</v>
      </c>
      <c r="N39" s="45" t="e">
        <f t="shared" si="11"/>
        <v>#VALUE!</v>
      </c>
      <c r="O39" s="45" t="e">
        <f t="shared" si="12"/>
        <v>#VALUE!</v>
      </c>
      <c r="P39" s="45" t="e">
        <f t="shared" si="12"/>
        <v>#VALUE!</v>
      </c>
      <c r="Q39" s="45" t="e">
        <f t="shared" si="25"/>
        <v>#VALUE!</v>
      </c>
      <c r="R39" s="45" t="e">
        <f t="shared" si="13"/>
        <v>#VALUE!</v>
      </c>
      <c r="S39" s="45" t="e">
        <f t="shared" si="26"/>
        <v>#VALUE!</v>
      </c>
      <c r="T39" s="98">
        <v>0.13892802157183032</v>
      </c>
      <c r="U39" s="45" t="e">
        <f t="shared" si="14"/>
        <v>#VALUE!</v>
      </c>
      <c r="V39" s="45" t="e">
        <f t="shared" si="15"/>
        <v>#VALUE!</v>
      </c>
      <c r="W39" s="45" t="e">
        <f t="shared" si="16"/>
        <v>#VALUE!</v>
      </c>
      <c r="X39" s="45" t="e">
        <f t="shared" si="2"/>
        <v>#VALUE!</v>
      </c>
      <c r="Y39" s="47" t="e">
        <f t="shared" si="28"/>
        <v>#VALUE!</v>
      </c>
      <c r="Z39" s="45">
        <f t="shared" si="3"/>
        <v>1.650989940381016</v>
      </c>
      <c r="AA39" s="49" t="e">
        <f t="shared" si="4"/>
        <v>#VALUE!</v>
      </c>
      <c r="AB39" s="45" t="e">
        <f t="shared" si="5"/>
        <v>#VALUE!</v>
      </c>
      <c r="AC39" s="48" t="e">
        <f t="shared" si="6"/>
        <v>#VALUE!</v>
      </c>
      <c r="AD39" s="48">
        <f t="shared" si="27"/>
        <v>4.1090909090909085</v>
      </c>
      <c r="AE39" s="48" t="e">
        <f t="shared" si="7"/>
        <v>#VALUE!</v>
      </c>
      <c r="AF39" s="48" t="e">
        <f t="shared" si="29"/>
        <v>#VALUE!</v>
      </c>
    </row>
    <row r="40" spans="1:36" x14ac:dyDescent="0.35">
      <c r="A40" s="40">
        <f t="shared" si="17"/>
        <v>-2</v>
      </c>
      <c r="B40" s="41">
        <f t="shared" si="9"/>
        <v>384.47272727272684</v>
      </c>
      <c r="C40" s="41" t="e">
        <f t="shared" si="10"/>
        <v>#VALUE!</v>
      </c>
      <c r="D40" s="41" t="e">
        <f t="shared" si="0"/>
        <v>#VALUE!</v>
      </c>
      <c r="E40" s="41" t="e">
        <f t="shared" si="18"/>
        <v>#VALUE!</v>
      </c>
      <c r="F40" s="43">
        <f t="shared" si="19"/>
        <v>0.6</v>
      </c>
      <c r="G40" s="119">
        <v>4.5999999999999996</v>
      </c>
      <c r="H40" s="41" t="e">
        <f t="shared" si="20"/>
        <v>#VALUE!</v>
      </c>
      <c r="I40" s="51">
        <f t="shared" si="21"/>
        <v>0.6</v>
      </c>
      <c r="J40" s="42">
        <f t="shared" si="22"/>
        <v>4593.3744554777059</v>
      </c>
      <c r="K40" s="42">
        <f t="shared" si="1"/>
        <v>4593.2355383958857</v>
      </c>
      <c r="L40" s="45" t="e">
        <f t="shared" si="23"/>
        <v>#VALUE!</v>
      </c>
      <c r="M40" s="45" t="e">
        <f t="shared" si="24"/>
        <v>#VALUE!</v>
      </c>
      <c r="N40" s="45" t="e">
        <f t="shared" si="11"/>
        <v>#VALUE!</v>
      </c>
      <c r="O40" s="45" t="e">
        <f t="shared" si="12"/>
        <v>#VALUE!</v>
      </c>
      <c r="P40" s="45" t="e">
        <f t="shared" si="12"/>
        <v>#VALUE!</v>
      </c>
      <c r="Q40" s="45" t="e">
        <f t="shared" si="25"/>
        <v>#VALUE!</v>
      </c>
      <c r="R40" s="45" t="e">
        <f t="shared" si="13"/>
        <v>#VALUE!</v>
      </c>
      <c r="S40" s="45" t="e">
        <f t="shared" si="26"/>
        <v>#VALUE!</v>
      </c>
      <c r="T40" s="98">
        <v>0.1389170818203104</v>
      </c>
      <c r="U40" s="45" t="e">
        <f t="shared" si="14"/>
        <v>#VALUE!</v>
      </c>
      <c r="V40" s="45" t="e">
        <f t="shared" si="15"/>
        <v>#VALUE!</v>
      </c>
      <c r="W40" s="45" t="e">
        <f t="shared" si="16"/>
        <v>#VALUE!</v>
      </c>
      <c r="X40" s="45" t="e">
        <f t="shared" si="2"/>
        <v>#VALUE!</v>
      </c>
      <c r="Y40" s="47" t="e">
        <f t="shared" si="28"/>
        <v>#VALUE!</v>
      </c>
      <c r="Z40" s="45">
        <f t="shared" si="3"/>
        <v>1.6509249363052489</v>
      </c>
      <c r="AA40" s="49" t="e">
        <f t="shared" si="4"/>
        <v>#VALUE!</v>
      </c>
      <c r="AB40" s="45" t="e">
        <f t="shared" si="5"/>
        <v>#VALUE!</v>
      </c>
      <c r="AC40" s="48" t="e">
        <f t="shared" si="6"/>
        <v>#VALUE!</v>
      </c>
      <c r="AD40" s="48">
        <f t="shared" si="27"/>
        <v>4.1090909090909085</v>
      </c>
      <c r="AE40" s="48" t="e">
        <f t="shared" si="7"/>
        <v>#VALUE!</v>
      </c>
      <c r="AF40" s="48" t="e">
        <f t="shared" si="29"/>
        <v>#VALUE!</v>
      </c>
    </row>
    <row r="41" spans="1:36" x14ac:dyDescent="0.35">
      <c r="A41" s="40">
        <f t="shared" si="17"/>
        <v>-3</v>
      </c>
      <c r="B41" s="41">
        <f t="shared" si="9"/>
        <v>379.96363636363594</v>
      </c>
      <c r="C41" s="41" t="e">
        <f t="shared" si="10"/>
        <v>#VALUE!</v>
      </c>
      <c r="D41" s="41" t="e">
        <f t="shared" si="0"/>
        <v>#VALUE!</v>
      </c>
      <c r="E41" s="41" t="e">
        <f t="shared" si="18"/>
        <v>#VALUE!</v>
      </c>
      <c r="F41" s="43">
        <f t="shared" si="19"/>
        <v>0.6</v>
      </c>
      <c r="G41" s="119">
        <v>4.5999999999999996</v>
      </c>
      <c r="H41" s="41" t="e">
        <f t="shared" si="20"/>
        <v>#VALUE!</v>
      </c>
      <c r="I41" s="51">
        <f t="shared" si="21"/>
        <v>0.6</v>
      </c>
      <c r="J41" s="42">
        <f t="shared" si="22"/>
        <v>4593.2355383958857</v>
      </c>
      <c r="K41" s="42">
        <f t="shared" si="1"/>
        <v>4593.0968491916801</v>
      </c>
      <c r="L41" s="45" t="e">
        <f t="shared" si="23"/>
        <v>#VALUE!</v>
      </c>
      <c r="M41" s="45" t="e">
        <f t="shared" si="24"/>
        <v>#VALUE!</v>
      </c>
      <c r="N41" s="45" t="e">
        <f t="shared" si="11"/>
        <v>#VALUE!</v>
      </c>
      <c r="O41" s="45" t="e">
        <f t="shared" si="12"/>
        <v>#VALUE!</v>
      </c>
      <c r="P41" s="45" t="e">
        <f t="shared" si="12"/>
        <v>#VALUE!</v>
      </c>
      <c r="Q41" s="45" t="e">
        <f t="shared" si="25"/>
        <v>#VALUE!</v>
      </c>
      <c r="R41" s="45" t="e">
        <f t="shared" si="13"/>
        <v>#VALUE!</v>
      </c>
      <c r="S41" s="45" t="e">
        <f t="shared" si="26"/>
        <v>#VALUE!</v>
      </c>
      <c r="T41" s="98">
        <v>0.13868920420592468</v>
      </c>
      <c r="U41" s="45" t="e">
        <f t="shared" si="14"/>
        <v>#VALUE!</v>
      </c>
      <c r="V41" s="45" t="e">
        <f t="shared" si="15"/>
        <v>#VALUE!</v>
      </c>
      <c r="W41" s="45" t="e">
        <f t="shared" si="16"/>
        <v>#VALUE!</v>
      </c>
      <c r="X41" s="45" t="e">
        <f t="shared" si="2"/>
        <v>#VALUE!</v>
      </c>
      <c r="Y41" s="47" t="e">
        <f t="shared" si="28"/>
        <v>#VALUE!</v>
      </c>
      <c r="Z41" s="45">
        <f t="shared" si="3"/>
        <v>1.6495703036003777</v>
      </c>
      <c r="AA41" s="49" t="e">
        <f t="shared" si="4"/>
        <v>#VALUE!</v>
      </c>
      <c r="AB41" s="45" t="e">
        <f t="shared" si="5"/>
        <v>#VALUE!</v>
      </c>
      <c r="AC41" s="48" t="e">
        <f t="shared" si="6"/>
        <v>#VALUE!</v>
      </c>
      <c r="AD41" s="48">
        <f t="shared" si="27"/>
        <v>4.1090909090909085</v>
      </c>
      <c r="AE41" s="48" t="e">
        <f t="shared" si="7"/>
        <v>#VALUE!</v>
      </c>
      <c r="AF41" s="48" t="e">
        <f t="shared" si="29"/>
        <v>#VALUE!</v>
      </c>
    </row>
    <row r="42" spans="1:36" x14ac:dyDescent="0.35">
      <c r="A42" s="40">
        <f t="shared" si="17"/>
        <v>-4</v>
      </c>
      <c r="B42" s="41">
        <f t="shared" si="9"/>
        <v>375.45454545454504</v>
      </c>
      <c r="C42" s="41" t="e">
        <f t="shared" si="10"/>
        <v>#VALUE!</v>
      </c>
      <c r="D42" s="41" t="e">
        <f t="shared" si="0"/>
        <v>#VALUE!</v>
      </c>
      <c r="E42" s="41" t="e">
        <f t="shared" si="18"/>
        <v>#VALUE!</v>
      </c>
      <c r="F42" s="43">
        <f t="shared" si="19"/>
        <v>0.6</v>
      </c>
      <c r="G42" s="119">
        <v>4.5999999999999996</v>
      </c>
      <c r="H42" s="41" t="e">
        <f t="shared" si="20"/>
        <v>#VALUE!</v>
      </c>
      <c r="I42" s="51">
        <f t="shared" si="21"/>
        <v>0.6</v>
      </c>
      <c r="J42" s="42">
        <f t="shared" si="22"/>
        <v>4593.0968491916801</v>
      </c>
      <c r="K42" s="42">
        <f t="shared" si="1"/>
        <v>4592.9626225275124</v>
      </c>
      <c r="L42" s="45" t="e">
        <f t="shared" si="23"/>
        <v>#VALUE!</v>
      </c>
      <c r="M42" s="45" t="e">
        <f t="shared" si="24"/>
        <v>#VALUE!</v>
      </c>
      <c r="N42" s="45" t="e">
        <f t="shared" si="11"/>
        <v>#VALUE!</v>
      </c>
      <c r="O42" s="45" t="e">
        <f t="shared" si="12"/>
        <v>#VALUE!</v>
      </c>
      <c r="P42" s="45" t="e">
        <f t="shared" si="12"/>
        <v>#VALUE!</v>
      </c>
      <c r="Q42" s="45" t="e">
        <f t="shared" si="25"/>
        <v>#VALUE!</v>
      </c>
      <c r="R42" s="45" t="e">
        <f t="shared" si="13"/>
        <v>#VALUE!</v>
      </c>
      <c r="S42" s="45" t="e">
        <f t="shared" si="26"/>
        <v>#VALUE!</v>
      </c>
      <c r="T42" s="98">
        <v>0.13422666416732112</v>
      </c>
      <c r="U42" s="45" t="e">
        <f t="shared" si="14"/>
        <v>#VALUE!</v>
      </c>
      <c r="V42" s="45" t="e">
        <f t="shared" si="15"/>
        <v>#VALUE!</v>
      </c>
      <c r="W42" s="45" t="e">
        <f t="shared" si="16"/>
        <v>#VALUE!</v>
      </c>
      <c r="X42" s="45" t="e">
        <f t="shared" si="2"/>
        <v>#VALUE!</v>
      </c>
      <c r="Y42" s="47" t="e">
        <f t="shared" si="28"/>
        <v>#VALUE!</v>
      </c>
      <c r="Z42" s="45">
        <f t="shared" si="3"/>
        <v>1.6228145768888202</v>
      </c>
      <c r="AA42" s="49" t="e">
        <f t="shared" si="4"/>
        <v>#VALUE!</v>
      </c>
      <c r="AB42" s="45" t="e">
        <f t="shared" si="5"/>
        <v>#VALUE!</v>
      </c>
      <c r="AC42" s="48" t="e">
        <f t="shared" si="6"/>
        <v>#VALUE!</v>
      </c>
      <c r="AD42" s="48">
        <f t="shared" si="27"/>
        <v>4.1090909090909085</v>
      </c>
      <c r="AE42" s="48" t="e">
        <f t="shared" si="7"/>
        <v>#VALUE!</v>
      </c>
      <c r="AF42" s="48" t="e">
        <f t="shared" si="29"/>
        <v>#VALUE!</v>
      </c>
    </row>
    <row r="43" spans="1:36" x14ac:dyDescent="0.35">
      <c r="A43" s="40">
        <f t="shared" si="17"/>
        <v>-5</v>
      </c>
      <c r="B43" s="41">
        <f t="shared" si="9"/>
        <v>370.94545454545414</v>
      </c>
      <c r="C43" s="41" t="e">
        <f t="shared" si="10"/>
        <v>#VALUE!</v>
      </c>
      <c r="D43" s="41" t="e">
        <f t="shared" si="0"/>
        <v>#VALUE!</v>
      </c>
      <c r="E43" s="41" t="e">
        <f t="shared" si="18"/>
        <v>#VALUE!</v>
      </c>
      <c r="F43" s="43">
        <f t="shared" si="19"/>
        <v>0.6</v>
      </c>
      <c r="G43" s="119">
        <v>4.5999999999999996</v>
      </c>
      <c r="H43" s="41" t="e">
        <f t="shared" si="20"/>
        <v>#VALUE!</v>
      </c>
      <c r="I43" s="51">
        <f t="shared" si="21"/>
        <v>0.6</v>
      </c>
      <c r="J43" s="42">
        <f t="shared" si="22"/>
        <v>4592.9626225275124</v>
      </c>
      <c r="K43" s="42">
        <f t="shared" si="1"/>
        <v>4592.8727518635942</v>
      </c>
      <c r="L43" s="45" t="e">
        <f t="shared" si="23"/>
        <v>#VALUE!</v>
      </c>
      <c r="M43" s="45" t="e">
        <f t="shared" si="24"/>
        <v>#VALUE!</v>
      </c>
      <c r="N43" s="45" t="e">
        <f t="shared" si="11"/>
        <v>#VALUE!</v>
      </c>
      <c r="O43" s="45" t="e">
        <f t="shared" si="12"/>
        <v>#VALUE!</v>
      </c>
      <c r="P43" s="45" t="e">
        <f t="shared" si="12"/>
        <v>#VALUE!</v>
      </c>
      <c r="Q43" s="45" t="e">
        <f t="shared" si="25"/>
        <v>#VALUE!</v>
      </c>
      <c r="R43" s="45" t="e">
        <f t="shared" si="13"/>
        <v>#VALUE!</v>
      </c>
      <c r="S43" s="45" t="e">
        <f t="shared" si="26"/>
        <v>#VALUE!</v>
      </c>
      <c r="T43" s="98">
        <v>8.9870663917912763E-2</v>
      </c>
      <c r="U43" s="45" t="e">
        <f t="shared" si="14"/>
        <v>#VALUE!</v>
      </c>
      <c r="V43" s="45" t="e">
        <f t="shared" si="15"/>
        <v>#VALUE!</v>
      </c>
      <c r="W43" s="45" t="e">
        <f t="shared" si="16"/>
        <v>#VALUE!</v>
      </c>
      <c r="X43" s="45" t="e">
        <f t="shared" si="2"/>
        <v>#VALUE!</v>
      </c>
      <c r="Y43" s="47" t="e">
        <f t="shared" si="28"/>
        <v>#VALUE!</v>
      </c>
      <c r="Z43" s="45">
        <f t="shared" si="3"/>
        <v>1.327878919958235</v>
      </c>
      <c r="AA43" s="49" t="e">
        <f t="shared" si="4"/>
        <v>#VALUE!</v>
      </c>
      <c r="AB43" s="45" t="e">
        <f t="shared" si="5"/>
        <v>#VALUE!</v>
      </c>
      <c r="AC43" s="48" t="e">
        <f t="shared" si="6"/>
        <v>#VALUE!</v>
      </c>
      <c r="AD43" s="48">
        <f t="shared" si="27"/>
        <v>4.1090909090909085</v>
      </c>
      <c r="AE43" s="48" t="e">
        <f t="shared" si="7"/>
        <v>#VALUE!</v>
      </c>
      <c r="AF43" s="48" t="e">
        <f t="shared" si="29"/>
        <v>#VALUE!</v>
      </c>
    </row>
    <row r="44" spans="1:36" x14ac:dyDescent="0.35">
      <c r="A44" s="40">
        <f t="shared" si="17"/>
        <v>-6</v>
      </c>
      <c r="B44" s="41">
        <f t="shared" si="9"/>
        <v>366.43636363636324</v>
      </c>
      <c r="C44" s="41" t="e">
        <f t="shared" si="10"/>
        <v>#VALUE!</v>
      </c>
      <c r="D44" s="41" t="e">
        <f t="shared" si="0"/>
        <v>#VALUE!</v>
      </c>
      <c r="E44" s="41" t="e">
        <f t="shared" si="18"/>
        <v>#VALUE!</v>
      </c>
      <c r="F44" s="43">
        <f t="shared" si="19"/>
        <v>0.6</v>
      </c>
      <c r="G44" s="119">
        <v>4.5999999999999996</v>
      </c>
      <c r="H44" s="41" t="e">
        <f t="shared" si="20"/>
        <v>#VALUE!</v>
      </c>
      <c r="I44" s="51">
        <f t="shared" si="21"/>
        <v>0.6</v>
      </c>
      <c r="J44" s="42">
        <f t="shared" si="22"/>
        <v>4592.8727518635942</v>
      </c>
      <c r="K44" s="42">
        <f t="shared" si="1"/>
        <v>4592.8399137449305</v>
      </c>
      <c r="L44" s="45" t="e">
        <f t="shared" si="23"/>
        <v>#VALUE!</v>
      </c>
      <c r="M44" s="45" t="e">
        <f t="shared" si="24"/>
        <v>#VALUE!</v>
      </c>
      <c r="N44" s="45" t="e">
        <f t="shared" si="11"/>
        <v>#VALUE!</v>
      </c>
      <c r="O44" s="45" t="e">
        <f t="shared" si="12"/>
        <v>#VALUE!</v>
      </c>
      <c r="P44" s="45" t="e">
        <f t="shared" si="12"/>
        <v>#VALUE!</v>
      </c>
      <c r="Q44" s="45" t="e">
        <f t="shared" si="25"/>
        <v>#VALUE!</v>
      </c>
      <c r="R44" s="45" t="e">
        <f t="shared" si="13"/>
        <v>#VALUE!</v>
      </c>
      <c r="S44" s="45" t="e">
        <f t="shared" si="26"/>
        <v>#VALUE!</v>
      </c>
      <c r="T44" s="98">
        <v>3.2838118663380086E-2</v>
      </c>
      <c r="U44" s="45" t="e">
        <f t="shared" si="14"/>
        <v>#VALUE!</v>
      </c>
      <c r="V44" s="45" t="e">
        <f t="shared" si="15"/>
        <v>#VALUE!</v>
      </c>
      <c r="W44" s="45" t="e">
        <f t="shared" si="16"/>
        <v>#VALUE!</v>
      </c>
      <c r="X44" s="45" t="e">
        <f t="shared" si="2"/>
        <v>#VALUE!</v>
      </c>
      <c r="Y44" s="47" t="e">
        <f t="shared" si="28"/>
        <v>#VALUE!</v>
      </c>
      <c r="Z44" s="45">
        <f t="shared" si="3"/>
        <v>0.80267296464719506</v>
      </c>
      <c r="AA44" s="49" t="e">
        <f t="shared" si="4"/>
        <v>#VALUE!</v>
      </c>
      <c r="AB44" s="45" t="e">
        <f t="shared" si="5"/>
        <v>#VALUE!</v>
      </c>
      <c r="AC44" s="48" t="e">
        <f t="shared" si="6"/>
        <v>#VALUE!</v>
      </c>
      <c r="AD44" s="48">
        <f t="shared" si="27"/>
        <v>4.1090909090909085</v>
      </c>
      <c r="AE44" s="48" t="e">
        <f t="shared" si="7"/>
        <v>#VALUE!</v>
      </c>
      <c r="AF44" s="48" t="e">
        <f t="shared" si="29"/>
        <v>#VALUE!</v>
      </c>
    </row>
    <row r="45" spans="1:36" x14ac:dyDescent="0.35">
      <c r="A45" s="40">
        <f t="shared" si="17"/>
        <v>-7</v>
      </c>
      <c r="B45" s="41">
        <f t="shared" si="9"/>
        <v>361.92727272727234</v>
      </c>
      <c r="C45" s="41" t="e">
        <f t="shared" si="10"/>
        <v>#VALUE!</v>
      </c>
      <c r="D45" s="41" t="e">
        <f t="shared" si="0"/>
        <v>#VALUE!</v>
      </c>
      <c r="E45" s="41" t="e">
        <f t="shared" si="18"/>
        <v>#VALUE!</v>
      </c>
      <c r="F45" s="43">
        <f t="shared" si="19"/>
        <v>0.6</v>
      </c>
      <c r="G45" s="119">
        <v>4.5999999999999996</v>
      </c>
      <c r="H45" s="41" t="e">
        <f t="shared" si="20"/>
        <v>#VALUE!</v>
      </c>
      <c r="I45" s="51">
        <f t="shared" si="21"/>
        <v>0.6</v>
      </c>
      <c r="J45" s="42">
        <f t="shared" si="22"/>
        <v>4592.8399137449305</v>
      </c>
      <c r="K45" s="42">
        <f t="shared" si="1"/>
        <v>4592.8198918567095</v>
      </c>
      <c r="L45" s="45" t="e">
        <f t="shared" si="23"/>
        <v>#VALUE!</v>
      </c>
      <c r="M45" s="45" t="e">
        <f t="shared" si="24"/>
        <v>#VALUE!</v>
      </c>
      <c r="N45" s="45" t="e">
        <f t="shared" si="11"/>
        <v>#VALUE!</v>
      </c>
      <c r="O45" s="45" t="e">
        <f t="shared" si="12"/>
        <v>#VALUE!</v>
      </c>
      <c r="P45" s="45" t="e">
        <f t="shared" si="12"/>
        <v>#VALUE!</v>
      </c>
      <c r="Q45" s="45" t="e">
        <f t="shared" si="25"/>
        <v>#VALUE!</v>
      </c>
      <c r="R45" s="45" t="e">
        <f t="shared" si="13"/>
        <v>#VALUE!</v>
      </c>
      <c r="S45" s="45" t="e">
        <f t="shared" si="26"/>
        <v>#VALUE!</v>
      </c>
      <c r="T45" s="98">
        <v>2.0021888221419943E-2</v>
      </c>
      <c r="U45" s="45" t="e">
        <f t="shared" si="14"/>
        <v>#VALUE!</v>
      </c>
      <c r="V45" s="45" t="e">
        <f t="shared" si="15"/>
        <v>#VALUE!</v>
      </c>
      <c r="W45" s="45" t="e">
        <f t="shared" si="16"/>
        <v>#VALUE!</v>
      </c>
      <c r="X45" s="45" t="e">
        <f t="shared" si="2"/>
        <v>#VALUE!</v>
      </c>
      <c r="Y45" s="47" t="e">
        <f t="shared" si="28"/>
        <v>#VALUE!</v>
      </c>
      <c r="Z45" s="45">
        <f t="shared" si="3"/>
        <v>0.62676107641130629</v>
      </c>
      <c r="AA45" s="49" t="e">
        <f t="shared" si="4"/>
        <v>#VALUE!</v>
      </c>
      <c r="AB45" s="45" t="e">
        <f t="shared" si="5"/>
        <v>#VALUE!</v>
      </c>
      <c r="AC45" s="48" t="e">
        <f t="shared" si="6"/>
        <v>#VALUE!</v>
      </c>
      <c r="AD45" s="48">
        <f t="shared" si="27"/>
        <v>4.1090909090909085</v>
      </c>
      <c r="AE45" s="48" t="e">
        <f t="shared" si="7"/>
        <v>#VALUE!</v>
      </c>
      <c r="AF45" s="48" t="e">
        <f t="shared" si="29"/>
        <v>#VALUE!</v>
      </c>
    </row>
    <row r="46" spans="1:36" x14ac:dyDescent="0.35">
      <c r="A46" s="40">
        <f t="shared" si="17"/>
        <v>-8</v>
      </c>
      <c r="B46" s="41">
        <f t="shared" si="9"/>
        <v>357.41818181818144</v>
      </c>
      <c r="C46" s="41" t="e">
        <f t="shared" si="10"/>
        <v>#VALUE!</v>
      </c>
      <c r="D46" s="41" t="e">
        <f t="shared" si="0"/>
        <v>#VALUE!</v>
      </c>
      <c r="E46" s="41" t="e">
        <f t="shared" si="18"/>
        <v>#VALUE!</v>
      </c>
      <c r="F46" s="43">
        <f t="shared" si="19"/>
        <v>0.6</v>
      </c>
      <c r="G46" s="43">
        <v>21.25</v>
      </c>
      <c r="H46" s="41" t="e">
        <f t="shared" si="20"/>
        <v>#VALUE!</v>
      </c>
      <c r="I46" s="51">
        <f t="shared" si="21"/>
        <v>0.6</v>
      </c>
      <c r="J46" s="42">
        <f t="shared" si="22"/>
        <v>4592.8198918567095</v>
      </c>
      <c r="K46" s="42">
        <f t="shared" si="1"/>
        <v>4573.6829312002956</v>
      </c>
      <c r="L46" s="45" t="e">
        <f t="shared" si="23"/>
        <v>#VALUE!</v>
      </c>
      <c r="M46" s="45" t="e">
        <f t="shared" si="24"/>
        <v>#VALUE!</v>
      </c>
      <c r="N46" s="45" t="e">
        <f t="shared" si="11"/>
        <v>#VALUE!</v>
      </c>
      <c r="O46" s="45" t="e">
        <f t="shared" si="12"/>
        <v>#VALUE!</v>
      </c>
      <c r="P46" s="45" t="e">
        <f t="shared" si="12"/>
        <v>#VALUE!</v>
      </c>
      <c r="Q46" s="45" t="e">
        <f t="shared" si="25"/>
        <v>#VALUE!</v>
      </c>
      <c r="R46" s="45" t="e">
        <f t="shared" si="13"/>
        <v>#VALUE!</v>
      </c>
      <c r="S46" s="45" t="e">
        <f t="shared" si="26"/>
        <v>#VALUE!</v>
      </c>
      <c r="T46" s="53">
        <v>19.1369606564142</v>
      </c>
      <c r="U46" s="45" t="e">
        <f t="shared" si="14"/>
        <v>#VALUE!</v>
      </c>
      <c r="V46" s="45" t="e">
        <f t="shared" si="15"/>
        <v>#VALUE!</v>
      </c>
      <c r="W46" s="45" t="e">
        <f t="shared" si="16"/>
        <v>#VALUE!</v>
      </c>
      <c r="X46" s="45" t="e">
        <f t="shared" si="2"/>
        <v>#VALUE!</v>
      </c>
      <c r="Y46" s="47" t="e">
        <f t="shared" si="28"/>
        <v>#VALUE!</v>
      </c>
      <c r="Z46" s="45">
        <f t="shared" si="3"/>
        <v>19.376975204578411</v>
      </c>
      <c r="AA46" s="49" t="e">
        <f t="shared" si="4"/>
        <v>#VALUE!</v>
      </c>
      <c r="AB46" s="45" t="e">
        <f t="shared" si="5"/>
        <v>#VALUE!</v>
      </c>
      <c r="AC46" s="48" t="e">
        <f t="shared" si="6"/>
        <v>#VALUE!</v>
      </c>
      <c r="AD46" s="48">
        <f t="shared" si="27"/>
        <v>4.1090909090909085</v>
      </c>
      <c r="AE46" s="48" t="e">
        <f t="shared" si="7"/>
        <v>#VALUE!</v>
      </c>
      <c r="AF46" s="48" t="e">
        <f t="shared" si="29"/>
        <v>#VALUE!</v>
      </c>
    </row>
    <row r="47" spans="1:36" x14ac:dyDescent="0.35">
      <c r="A47" s="40">
        <f t="shared" si="17"/>
        <v>-9</v>
      </c>
      <c r="B47" s="41">
        <f t="shared" si="9"/>
        <v>352.90909090909054</v>
      </c>
      <c r="C47" s="41" t="e">
        <f t="shared" si="10"/>
        <v>#VALUE!</v>
      </c>
      <c r="D47" s="41" t="e">
        <f t="shared" si="0"/>
        <v>#VALUE!</v>
      </c>
      <c r="E47" s="41" t="e">
        <f t="shared" si="18"/>
        <v>#VALUE!</v>
      </c>
      <c r="F47" s="43">
        <f t="shared" si="19"/>
        <v>0.6</v>
      </c>
      <c r="G47" s="43">
        <v>22.25</v>
      </c>
      <c r="H47" s="41" t="e">
        <f t="shared" si="20"/>
        <v>#VALUE!</v>
      </c>
      <c r="I47" s="51">
        <f t="shared" si="21"/>
        <v>0.6</v>
      </c>
      <c r="J47" s="42">
        <f t="shared" si="22"/>
        <v>4573.6829312002956</v>
      </c>
      <c r="K47" s="42">
        <f t="shared" si="1"/>
        <v>4553.5459705438816</v>
      </c>
      <c r="L47" s="45" t="e">
        <f t="shared" si="23"/>
        <v>#VALUE!</v>
      </c>
      <c r="M47" s="45" t="e">
        <f t="shared" si="24"/>
        <v>#VALUE!</v>
      </c>
      <c r="N47" s="45" t="e">
        <f t="shared" si="11"/>
        <v>#VALUE!</v>
      </c>
      <c r="O47" s="45" t="e">
        <f t="shared" si="12"/>
        <v>#VALUE!</v>
      </c>
      <c r="P47" s="45" t="e">
        <f t="shared" si="12"/>
        <v>#VALUE!</v>
      </c>
      <c r="Q47" s="45" t="e">
        <f t="shared" si="25"/>
        <v>#VALUE!</v>
      </c>
      <c r="R47" s="45" t="e">
        <f t="shared" si="13"/>
        <v>#VALUE!</v>
      </c>
      <c r="S47" s="45" t="e">
        <f t="shared" si="26"/>
        <v>#VALUE!</v>
      </c>
      <c r="T47" s="53">
        <v>20.1369606564142</v>
      </c>
      <c r="U47" s="45" t="e">
        <f t="shared" si="14"/>
        <v>#VALUE!</v>
      </c>
      <c r="V47" s="45" t="e">
        <f t="shared" si="15"/>
        <v>#VALUE!</v>
      </c>
      <c r="W47" s="45" t="e">
        <f t="shared" si="16"/>
        <v>#VALUE!</v>
      </c>
      <c r="X47" s="45" t="e">
        <f t="shared" si="2"/>
        <v>#VALUE!</v>
      </c>
      <c r="Y47" s="47" t="e">
        <f t="shared" si="28"/>
        <v>#VALUE!</v>
      </c>
      <c r="Z47" s="45">
        <f t="shared" si="3"/>
        <v>19.876799744396646</v>
      </c>
      <c r="AA47" s="49" t="e">
        <f t="shared" si="4"/>
        <v>#VALUE!</v>
      </c>
      <c r="AB47" s="45" t="e">
        <f t="shared" si="5"/>
        <v>#VALUE!</v>
      </c>
      <c r="AC47" s="48" t="e">
        <f t="shared" si="6"/>
        <v>#VALUE!</v>
      </c>
      <c r="AD47" s="48">
        <f t="shared" si="27"/>
        <v>4.1090909090909085</v>
      </c>
      <c r="AE47" s="48" t="e">
        <f t="shared" si="7"/>
        <v>#VALUE!</v>
      </c>
      <c r="AF47" s="48" t="e">
        <f t="shared" si="29"/>
        <v>#VALUE!</v>
      </c>
    </row>
    <row r="48" spans="1:36" x14ac:dyDescent="0.35">
      <c r="A48" s="40">
        <f t="shared" si="17"/>
        <v>-10</v>
      </c>
      <c r="B48" s="41">
        <f t="shared" si="9"/>
        <v>348.39999999999964</v>
      </c>
      <c r="C48" s="41" t="e">
        <f t="shared" si="10"/>
        <v>#VALUE!</v>
      </c>
      <c r="D48" s="41" t="e">
        <f t="shared" si="0"/>
        <v>#VALUE!</v>
      </c>
      <c r="E48" s="41" t="e">
        <f t="shared" si="18"/>
        <v>#VALUE!</v>
      </c>
      <c r="F48" s="43">
        <f t="shared" si="19"/>
        <v>0.6</v>
      </c>
      <c r="G48" s="43">
        <v>23.25</v>
      </c>
      <c r="H48" s="41" t="e">
        <f t="shared" si="20"/>
        <v>#VALUE!</v>
      </c>
      <c r="I48" s="51">
        <f t="shared" si="21"/>
        <v>0.6</v>
      </c>
      <c r="J48" s="42">
        <f t="shared" si="22"/>
        <v>4553.5459705438816</v>
      </c>
      <c r="K48" s="42">
        <f t="shared" si="1"/>
        <v>4532.4090098874676</v>
      </c>
      <c r="L48" s="45" t="e">
        <f t="shared" si="23"/>
        <v>#VALUE!</v>
      </c>
      <c r="M48" s="45" t="e">
        <f t="shared" si="24"/>
        <v>#VALUE!</v>
      </c>
      <c r="N48" s="45" t="e">
        <f t="shared" si="11"/>
        <v>#VALUE!</v>
      </c>
      <c r="O48" s="45" t="e">
        <f t="shared" si="12"/>
        <v>#VALUE!</v>
      </c>
      <c r="P48" s="45" t="e">
        <f t="shared" si="12"/>
        <v>#VALUE!</v>
      </c>
      <c r="Q48" s="45" t="e">
        <f t="shared" si="25"/>
        <v>#VALUE!</v>
      </c>
      <c r="R48" s="45" t="e">
        <f t="shared" si="13"/>
        <v>#VALUE!</v>
      </c>
      <c r="S48" s="45" t="e">
        <f t="shared" si="26"/>
        <v>#VALUE!</v>
      </c>
      <c r="T48" s="53">
        <v>21.1369606564142</v>
      </c>
      <c r="U48" s="45" t="e">
        <f t="shared" si="14"/>
        <v>#VALUE!</v>
      </c>
      <c r="V48" s="45" t="e">
        <f t="shared" si="15"/>
        <v>#VALUE!</v>
      </c>
      <c r="W48" s="45" t="e">
        <f t="shared" si="16"/>
        <v>#VALUE!</v>
      </c>
      <c r="X48" s="45" t="e">
        <f t="shared" si="2"/>
        <v>#VALUE!</v>
      </c>
      <c r="Y48" s="47" t="e">
        <f t="shared" si="28"/>
        <v>#VALUE!</v>
      </c>
      <c r="Z48" s="45">
        <f t="shared" si="3"/>
        <v>20.364360242316639</v>
      </c>
      <c r="AA48" s="49" t="e">
        <f t="shared" si="4"/>
        <v>#VALUE!</v>
      </c>
      <c r="AB48" s="45" t="e">
        <f t="shared" si="5"/>
        <v>#VALUE!</v>
      </c>
      <c r="AC48" s="48" t="e">
        <f t="shared" si="6"/>
        <v>#VALUE!</v>
      </c>
      <c r="AD48" s="48">
        <f t="shared" si="27"/>
        <v>4.1090909090909085</v>
      </c>
      <c r="AE48" s="48" t="e">
        <f t="shared" si="7"/>
        <v>#VALUE!</v>
      </c>
      <c r="AF48" s="48" t="e">
        <f t="shared" si="29"/>
        <v>#VALUE!</v>
      </c>
    </row>
    <row r="49" spans="1:32" x14ac:dyDescent="0.35">
      <c r="A49" s="40">
        <f t="shared" si="17"/>
        <v>-11</v>
      </c>
      <c r="B49" s="41">
        <f t="shared" si="9"/>
        <v>343.89090909090874</v>
      </c>
      <c r="C49" s="41" t="e">
        <f t="shared" si="10"/>
        <v>#VALUE!</v>
      </c>
      <c r="D49" s="41" t="e">
        <f t="shared" si="0"/>
        <v>#VALUE!</v>
      </c>
      <c r="E49" s="41" t="e">
        <f t="shared" si="18"/>
        <v>#VALUE!</v>
      </c>
      <c r="F49" s="43">
        <f t="shared" si="19"/>
        <v>0.6</v>
      </c>
      <c r="G49" s="43">
        <v>24.25</v>
      </c>
      <c r="H49" s="41" t="e">
        <f t="shared" si="20"/>
        <v>#VALUE!</v>
      </c>
      <c r="I49" s="51">
        <f t="shared" si="21"/>
        <v>0.6</v>
      </c>
      <c r="J49" s="42">
        <f t="shared" si="22"/>
        <v>4532.4090098874676</v>
      </c>
      <c r="K49" s="42">
        <f t="shared" si="1"/>
        <v>4510.2720492310536</v>
      </c>
      <c r="L49" s="45" t="e">
        <f t="shared" si="23"/>
        <v>#VALUE!</v>
      </c>
      <c r="M49" s="45" t="e">
        <f t="shared" si="24"/>
        <v>#VALUE!</v>
      </c>
      <c r="N49" s="45" t="e">
        <f t="shared" si="11"/>
        <v>#VALUE!</v>
      </c>
      <c r="O49" s="45" t="e">
        <f t="shared" si="12"/>
        <v>#VALUE!</v>
      </c>
      <c r="P49" s="45" t="e">
        <f t="shared" si="12"/>
        <v>#VALUE!</v>
      </c>
      <c r="Q49" s="45" t="e">
        <f t="shared" si="25"/>
        <v>#VALUE!</v>
      </c>
      <c r="R49" s="45" t="e">
        <f t="shared" si="13"/>
        <v>#VALUE!</v>
      </c>
      <c r="S49" s="45" t="e">
        <f t="shared" si="26"/>
        <v>#VALUE!</v>
      </c>
      <c r="T49" s="53">
        <v>22.1369606564142</v>
      </c>
      <c r="U49" s="45" t="e">
        <f t="shared" si="14"/>
        <v>#VALUE!</v>
      </c>
      <c r="V49" s="45" t="e">
        <f t="shared" si="15"/>
        <v>#VALUE!</v>
      </c>
      <c r="W49" s="45" t="e">
        <f t="shared" si="16"/>
        <v>#VALUE!</v>
      </c>
      <c r="X49" s="45" t="e">
        <f t="shared" si="2"/>
        <v>#VALUE!</v>
      </c>
      <c r="Y49" s="47" t="e">
        <f t="shared" si="28"/>
        <v>#VALUE!</v>
      </c>
      <c r="Z49" s="45">
        <f t="shared" si="3"/>
        <v>20.840517461878115</v>
      </c>
      <c r="AA49" s="49" t="e">
        <f t="shared" si="4"/>
        <v>#VALUE!</v>
      </c>
      <c r="AB49" s="45" t="e">
        <f t="shared" si="5"/>
        <v>#VALUE!</v>
      </c>
      <c r="AC49" s="48" t="e">
        <f t="shared" si="6"/>
        <v>#VALUE!</v>
      </c>
      <c r="AD49" s="48">
        <f t="shared" si="27"/>
        <v>4.1090909090909085</v>
      </c>
      <c r="AE49" s="48" t="e">
        <f t="shared" si="7"/>
        <v>#VALUE!</v>
      </c>
      <c r="AF49" s="48" t="e">
        <f t="shared" si="29"/>
        <v>#VALUE!</v>
      </c>
    </row>
    <row r="50" spans="1:32" x14ac:dyDescent="0.35">
      <c r="A50" s="40">
        <f t="shared" si="17"/>
        <v>-12</v>
      </c>
      <c r="B50" s="41">
        <f t="shared" si="9"/>
        <v>339.38181818181783</v>
      </c>
      <c r="C50" s="41" t="e">
        <f t="shared" si="10"/>
        <v>#VALUE!</v>
      </c>
      <c r="D50" s="41" t="e">
        <f t="shared" si="0"/>
        <v>#VALUE!</v>
      </c>
      <c r="E50" s="41" t="e">
        <f t="shared" si="18"/>
        <v>#VALUE!</v>
      </c>
      <c r="F50" s="43">
        <f t="shared" si="19"/>
        <v>0.6</v>
      </c>
      <c r="G50" s="43">
        <v>25.25</v>
      </c>
      <c r="H50" s="41" t="e">
        <f t="shared" si="20"/>
        <v>#VALUE!</v>
      </c>
      <c r="I50" s="51">
        <f t="shared" si="21"/>
        <v>0.6</v>
      </c>
      <c r="J50" s="42">
        <f t="shared" si="22"/>
        <v>4510.2720492310536</v>
      </c>
      <c r="K50" s="42">
        <f t="shared" si="1"/>
        <v>4487.1350885746397</v>
      </c>
      <c r="L50" s="45" t="e">
        <f t="shared" si="23"/>
        <v>#VALUE!</v>
      </c>
      <c r="M50" s="45" t="e">
        <f t="shared" si="24"/>
        <v>#VALUE!</v>
      </c>
      <c r="N50" s="45" t="e">
        <f t="shared" si="11"/>
        <v>#VALUE!</v>
      </c>
      <c r="O50" s="45" t="e">
        <f t="shared" si="12"/>
        <v>#VALUE!</v>
      </c>
      <c r="P50" s="45" t="e">
        <f t="shared" si="12"/>
        <v>#VALUE!</v>
      </c>
      <c r="Q50" s="45" t="e">
        <f t="shared" si="25"/>
        <v>#VALUE!</v>
      </c>
      <c r="R50" s="45" t="e">
        <f t="shared" si="13"/>
        <v>#VALUE!</v>
      </c>
      <c r="S50" s="45" t="e">
        <f t="shared" si="26"/>
        <v>#VALUE!</v>
      </c>
      <c r="T50" s="53">
        <v>23.1369606564142</v>
      </c>
      <c r="U50" s="45" t="e">
        <f t="shared" si="14"/>
        <v>#VALUE!</v>
      </c>
      <c r="V50" s="45" t="e">
        <f t="shared" si="15"/>
        <v>#VALUE!</v>
      </c>
      <c r="W50" s="45" t="e">
        <f t="shared" si="16"/>
        <v>#VALUE!</v>
      </c>
      <c r="X50" s="45" t="e">
        <f t="shared" si="2"/>
        <v>#VALUE!</v>
      </c>
      <c r="Y50" s="47" t="e">
        <f t="shared" si="28"/>
        <v>#VALUE!</v>
      </c>
      <c r="Z50" s="45">
        <f t="shared" si="3"/>
        <v>21.306035954133904</v>
      </c>
      <c r="AA50" s="49" t="e">
        <f t="shared" si="4"/>
        <v>#VALUE!</v>
      </c>
      <c r="AB50" s="45" t="e">
        <f t="shared" si="5"/>
        <v>#VALUE!</v>
      </c>
      <c r="AC50" s="48" t="e">
        <f t="shared" si="6"/>
        <v>#VALUE!</v>
      </c>
      <c r="AD50" s="48">
        <f t="shared" si="27"/>
        <v>4.1090909090909085</v>
      </c>
      <c r="AE50" s="48" t="e">
        <f t="shared" si="7"/>
        <v>#VALUE!</v>
      </c>
      <c r="AF50" s="48" t="e">
        <f t="shared" si="29"/>
        <v>#VALUE!</v>
      </c>
    </row>
    <row r="51" spans="1:32" x14ac:dyDescent="0.35">
      <c r="A51" s="40">
        <f t="shared" si="17"/>
        <v>-13</v>
      </c>
      <c r="B51" s="41">
        <f t="shared" si="9"/>
        <v>334.87272727272693</v>
      </c>
      <c r="C51" s="41" t="e">
        <f t="shared" si="10"/>
        <v>#VALUE!</v>
      </c>
      <c r="D51" s="41" t="e">
        <f t="shared" si="0"/>
        <v>#VALUE!</v>
      </c>
      <c r="E51" s="41" t="e">
        <f t="shared" si="18"/>
        <v>#VALUE!</v>
      </c>
      <c r="F51" s="43">
        <f t="shared" si="19"/>
        <v>0.6</v>
      </c>
      <c r="G51" s="43">
        <v>26.25</v>
      </c>
      <c r="H51" s="41" t="e">
        <f t="shared" si="20"/>
        <v>#VALUE!</v>
      </c>
      <c r="I51" s="51">
        <f t="shared" si="21"/>
        <v>0.6</v>
      </c>
      <c r="J51" s="42">
        <f t="shared" si="22"/>
        <v>4487.1350885746397</v>
      </c>
      <c r="K51" s="42">
        <f t="shared" si="1"/>
        <v>4462.9981279182257</v>
      </c>
      <c r="L51" s="45" t="e">
        <f t="shared" si="23"/>
        <v>#VALUE!</v>
      </c>
      <c r="M51" s="45" t="e">
        <f t="shared" si="24"/>
        <v>#VALUE!</v>
      </c>
      <c r="N51" s="45" t="e">
        <f t="shared" si="11"/>
        <v>#VALUE!</v>
      </c>
      <c r="O51" s="45" t="e">
        <f t="shared" si="12"/>
        <v>#VALUE!</v>
      </c>
      <c r="P51" s="45" t="e">
        <f t="shared" si="12"/>
        <v>#VALUE!</v>
      </c>
      <c r="Q51" s="45" t="e">
        <f t="shared" si="25"/>
        <v>#VALUE!</v>
      </c>
      <c r="R51" s="45" t="e">
        <f t="shared" si="13"/>
        <v>#VALUE!</v>
      </c>
      <c r="S51" s="45" t="e">
        <f t="shared" si="26"/>
        <v>#VALUE!</v>
      </c>
      <c r="T51" s="53">
        <v>24.1369606564142</v>
      </c>
      <c r="U51" s="45" t="e">
        <f t="shared" si="14"/>
        <v>#VALUE!</v>
      </c>
      <c r="V51" s="45" t="e">
        <f t="shared" si="15"/>
        <v>#VALUE!</v>
      </c>
      <c r="W51" s="45" t="e">
        <f t="shared" si="16"/>
        <v>#VALUE!</v>
      </c>
      <c r="X51" s="45" t="e">
        <f t="shared" si="2"/>
        <v>#VALUE!</v>
      </c>
      <c r="Y51" s="47" t="e">
        <f t="shared" si="28"/>
        <v>#VALUE!</v>
      </c>
      <c r="Z51" s="45">
        <f t="shared" si="3"/>
        <v>21.76159847251223</v>
      </c>
      <c r="AA51" s="49" t="e">
        <f t="shared" si="4"/>
        <v>#VALUE!</v>
      </c>
      <c r="AB51" s="45" t="e">
        <f t="shared" si="5"/>
        <v>#VALUE!</v>
      </c>
      <c r="AC51" s="48" t="e">
        <f t="shared" si="6"/>
        <v>#VALUE!</v>
      </c>
      <c r="AD51" s="48">
        <f t="shared" si="27"/>
        <v>4.1090909090909085</v>
      </c>
      <c r="AE51" s="48" t="e">
        <f t="shared" si="7"/>
        <v>#VALUE!</v>
      </c>
      <c r="AF51" s="48" t="e">
        <f t="shared" si="29"/>
        <v>#VALUE!</v>
      </c>
    </row>
    <row r="52" spans="1:32" x14ac:dyDescent="0.35">
      <c r="A52" s="40">
        <f t="shared" si="17"/>
        <v>-14</v>
      </c>
      <c r="B52" s="41">
        <f t="shared" si="9"/>
        <v>330.36363636363603</v>
      </c>
      <c r="C52" s="41" t="e">
        <f t="shared" si="10"/>
        <v>#VALUE!</v>
      </c>
      <c r="D52" s="41" t="e">
        <f t="shared" si="0"/>
        <v>#VALUE!</v>
      </c>
      <c r="E52" s="41" t="e">
        <f t="shared" si="18"/>
        <v>#VALUE!</v>
      </c>
      <c r="F52" s="43">
        <f t="shared" si="19"/>
        <v>0.6</v>
      </c>
      <c r="G52" s="43">
        <v>27.25</v>
      </c>
      <c r="H52" s="41" t="e">
        <f t="shared" si="20"/>
        <v>#VALUE!</v>
      </c>
      <c r="I52" s="51">
        <f t="shared" si="21"/>
        <v>0.6</v>
      </c>
      <c r="J52" s="42">
        <f t="shared" si="22"/>
        <v>4462.9981279182257</v>
      </c>
      <c r="K52" s="42">
        <f t="shared" si="1"/>
        <v>4437.8611672618117</v>
      </c>
      <c r="L52" s="45" t="e">
        <f t="shared" si="23"/>
        <v>#VALUE!</v>
      </c>
      <c r="M52" s="45" t="e">
        <f t="shared" si="24"/>
        <v>#VALUE!</v>
      </c>
      <c r="N52" s="45" t="e">
        <f t="shared" si="11"/>
        <v>#VALUE!</v>
      </c>
      <c r="O52" s="45" t="e">
        <f t="shared" si="12"/>
        <v>#VALUE!</v>
      </c>
      <c r="P52" s="45" t="e">
        <f t="shared" si="12"/>
        <v>#VALUE!</v>
      </c>
      <c r="Q52" s="45" t="e">
        <f t="shared" si="25"/>
        <v>#VALUE!</v>
      </c>
      <c r="R52" s="45" t="e">
        <f t="shared" si="13"/>
        <v>#VALUE!</v>
      </c>
      <c r="S52" s="45" t="e">
        <f t="shared" si="26"/>
        <v>#VALUE!</v>
      </c>
      <c r="T52" s="53">
        <v>25.1369606564142</v>
      </c>
      <c r="U52" s="45" t="e">
        <f t="shared" si="14"/>
        <v>#VALUE!</v>
      </c>
      <c r="V52" s="45" t="e">
        <f t="shared" si="15"/>
        <v>#VALUE!</v>
      </c>
      <c r="W52" s="45" t="e">
        <f t="shared" si="16"/>
        <v>#VALUE!</v>
      </c>
      <c r="X52" s="45" t="e">
        <f t="shared" si="2"/>
        <v>#VALUE!</v>
      </c>
      <c r="Y52" s="47" t="e">
        <f t="shared" si="28"/>
        <v>#VALUE!</v>
      </c>
      <c r="Z52" s="45">
        <f t="shared" si="3"/>
        <v>22.207817724370098</v>
      </c>
      <c r="AA52" s="49" t="e">
        <f t="shared" si="4"/>
        <v>#VALUE!</v>
      </c>
      <c r="AB52" s="45" t="e">
        <f t="shared" si="5"/>
        <v>#VALUE!</v>
      </c>
      <c r="AC52" s="48" t="e">
        <f t="shared" si="6"/>
        <v>#VALUE!</v>
      </c>
      <c r="AD52" s="48">
        <f t="shared" si="27"/>
        <v>4.1090909090909085</v>
      </c>
      <c r="AE52" s="48" t="e">
        <f t="shared" si="7"/>
        <v>#VALUE!</v>
      </c>
      <c r="AF52" s="48" t="e">
        <f t="shared" si="29"/>
        <v>#VALUE!</v>
      </c>
    </row>
    <row r="53" spans="1:32" x14ac:dyDescent="0.35">
      <c r="A53" s="40">
        <f t="shared" si="17"/>
        <v>-15</v>
      </c>
      <c r="B53" s="41">
        <f t="shared" si="9"/>
        <v>325.85454545454513</v>
      </c>
      <c r="C53" s="41" t="e">
        <f t="shared" si="10"/>
        <v>#VALUE!</v>
      </c>
      <c r="D53" s="41" t="e">
        <f t="shared" si="0"/>
        <v>#VALUE!</v>
      </c>
      <c r="E53" s="41" t="e">
        <f t="shared" si="18"/>
        <v>#VALUE!</v>
      </c>
      <c r="F53" s="43">
        <f t="shared" si="19"/>
        <v>0.6</v>
      </c>
      <c r="G53" s="43">
        <v>28.25</v>
      </c>
      <c r="H53" s="41" t="e">
        <f t="shared" si="20"/>
        <v>#VALUE!</v>
      </c>
      <c r="I53" s="51">
        <f t="shared" si="21"/>
        <v>0.6</v>
      </c>
      <c r="J53" s="42">
        <f t="shared" si="22"/>
        <v>4437.8611672618117</v>
      </c>
      <c r="K53" s="42">
        <f t="shared" si="1"/>
        <v>4411.7242066053977</v>
      </c>
      <c r="L53" s="45" t="e">
        <f t="shared" si="23"/>
        <v>#VALUE!</v>
      </c>
      <c r="M53" s="45" t="e">
        <f t="shared" si="24"/>
        <v>#VALUE!</v>
      </c>
      <c r="N53" s="45" t="e">
        <f t="shared" si="11"/>
        <v>#VALUE!</v>
      </c>
      <c r="O53" s="45" t="e">
        <f t="shared" si="12"/>
        <v>#VALUE!</v>
      </c>
      <c r="P53" s="45" t="e">
        <f t="shared" si="12"/>
        <v>#VALUE!</v>
      </c>
      <c r="Q53" s="45" t="e">
        <f t="shared" si="25"/>
        <v>#VALUE!</v>
      </c>
      <c r="R53" s="45" t="e">
        <f t="shared" si="13"/>
        <v>#VALUE!</v>
      </c>
      <c r="S53" s="45" t="e">
        <f t="shared" si="26"/>
        <v>#VALUE!</v>
      </c>
      <c r="T53" s="53">
        <v>26.1369606564142</v>
      </c>
      <c r="U53" s="45" t="e">
        <f t="shared" si="14"/>
        <v>#VALUE!</v>
      </c>
      <c r="V53" s="45" t="e">
        <f t="shared" si="15"/>
        <v>#VALUE!</v>
      </c>
      <c r="W53" s="45" t="e">
        <f t="shared" si="16"/>
        <v>#VALUE!</v>
      </c>
      <c r="X53" s="45" t="e">
        <f t="shared" si="2"/>
        <v>#VALUE!</v>
      </c>
      <c r="Y53" s="47" t="e">
        <f t="shared" si="28"/>
        <v>#VALUE!</v>
      </c>
      <c r="Z53" s="45">
        <f t="shared" si="3"/>
        <v>22.645246037057021</v>
      </c>
      <c r="AA53" s="49" t="e">
        <f t="shared" si="4"/>
        <v>#VALUE!</v>
      </c>
      <c r="AB53" s="45" t="e">
        <f t="shared" si="5"/>
        <v>#VALUE!</v>
      </c>
      <c r="AC53" s="48" t="e">
        <f t="shared" si="6"/>
        <v>#VALUE!</v>
      </c>
      <c r="AD53" s="48">
        <f t="shared" si="27"/>
        <v>4.1090909090909085</v>
      </c>
      <c r="AE53" s="48" t="e">
        <f t="shared" si="7"/>
        <v>#VALUE!</v>
      </c>
      <c r="AF53" s="48" t="e">
        <f t="shared" si="29"/>
        <v>#VALUE!</v>
      </c>
    </row>
    <row r="54" spans="1:32" x14ac:dyDescent="0.35">
      <c r="A54" s="40">
        <f t="shared" si="17"/>
        <v>-16</v>
      </c>
      <c r="B54" s="41">
        <f t="shared" si="9"/>
        <v>321.34545454545423</v>
      </c>
      <c r="C54" s="41" t="e">
        <f t="shared" si="10"/>
        <v>#VALUE!</v>
      </c>
      <c r="D54" s="41" t="e">
        <f t="shared" si="0"/>
        <v>#VALUE!</v>
      </c>
      <c r="E54" s="41" t="e">
        <f t="shared" si="18"/>
        <v>#VALUE!</v>
      </c>
      <c r="F54" s="43">
        <f t="shared" si="19"/>
        <v>0.6</v>
      </c>
      <c r="G54" s="43">
        <v>29.25</v>
      </c>
      <c r="H54" s="41" t="e">
        <f t="shared" si="20"/>
        <v>#VALUE!</v>
      </c>
      <c r="I54" s="51">
        <f t="shared" si="21"/>
        <v>0.6</v>
      </c>
      <c r="J54" s="42">
        <f t="shared" si="22"/>
        <v>4411.7242066053977</v>
      </c>
      <c r="K54" s="42">
        <f t="shared" si="1"/>
        <v>4384.5872459489838</v>
      </c>
      <c r="L54" s="45" t="e">
        <f t="shared" si="23"/>
        <v>#VALUE!</v>
      </c>
      <c r="M54" s="45" t="e">
        <f t="shared" si="24"/>
        <v>#VALUE!</v>
      </c>
      <c r="N54" s="45" t="e">
        <f t="shared" si="11"/>
        <v>#VALUE!</v>
      </c>
      <c r="O54" s="45" t="e">
        <f t="shared" si="12"/>
        <v>#VALUE!</v>
      </c>
      <c r="P54" s="45" t="e">
        <f t="shared" si="12"/>
        <v>#VALUE!</v>
      </c>
      <c r="Q54" s="45" t="e">
        <f t="shared" si="25"/>
        <v>#VALUE!</v>
      </c>
      <c r="R54" s="45" t="e">
        <f t="shared" si="13"/>
        <v>#VALUE!</v>
      </c>
      <c r="S54" s="45" t="e">
        <f t="shared" si="26"/>
        <v>#VALUE!</v>
      </c>
      <c r="T54" s="53">
        <v>27.1369606564142</v>
      </c>
      <c r="U54" s="45" t="e">
        <f t="shared" si="14"/>
        <v>#VALUE!</v>
      </c>
      <c r="V54" s="45" t="e">
        <f t="shared" si="15"/>
        <v>#VALUE!</v>
      </c>
      <c r="W54" s="45" t="e">
        <f t="shared" si="16"/>
        <v>#VALUE!</v>
      </c>
      <c r="X54" s="45" t="e">
        <f t="shared" si="2"/>
        <v>#VALUE!</v>
      </c>
      <c r="Y54" s="47" t="e">
        <f t="shared" si="28"/>
        <v>#VALUE!</v>
      </c>
      <c r="Z54" s="45">
        <f t="shared" si="3"/>
        <v>23.074383373751218</v>
      </c>
      <c r="AA54" s="49" t="e">
        <f t="shared" si="4"/>
        <v>#VALUE!</v>
      </c>
      <c r="AB54" s="45" t="e">
        <f t="shared" si="5"/>
        <v>#VALUE!</v>
      </c>
      <c r="AC54" s="48" t="e">
        <f t="shared" si="6"/>
        <v>#VALUE!</v>
      </c>
      <c r="AD54" s="48">
        <f t="shared" si="27"/>
        <v>4.1090909090909085</v>
      </c>
      <c r="AE54" s="48" t="e">
        <f t="shared" si="7"/>
        <v>#VALUE!</v>
      </c>
      <c r="AF54" s="48" t="e">
        <f t="shared" si="29"/>
        <v>#VALUE!</v>
      </c>
    </row>
    <row r="55" spans="1:32" x14ac:dyDescent="0.35">
      <c r="A55" s="40">
        <f t="shared" si="17"/>
        <v>-17</v>
      </c>
      <c r="B55" s="41">
        <f t="shared" si="9"/>
        <v>316.83636363636333</v>
      </c>
      <c r="C55" s="41" t="e">
        <f t="shared" si="10"/>
        <v>#VALUE!</v>
      </c>
      <c r="D55" s="41" t="e">
        <f t="shared" si="0"/>
        <v>#VALUE!</v>
      </c>
      <c r="E55" s="41" t="e">
        <f t="shared" si="18"/>
        <v>#VALUE!</v>
      </c>
      <c r="F55" s="43">
        <f t="shared" si="19"/>
        <v>0.6</v>
      </c>
      <c r="G55" s="43">
        <v>30.25</v>
      </c>
      <c r="H55" s="41" t="e">
        <f t="shared" si="20"/>
        <v>#VALUE!</v>
      </c>
      <c r="I55" s="51">
        <f t="shared" si="21"/>
        <v>0.6</v>
      </c>
      <c r="J55" s="42">
        <f t="shared" si="22"/>
        <v>4384.5872459489838</v>
      </c>
      <c r="K55" s="42">
        <f t="shared" si="1"/>
        <v>4356.4502852925698</v>
      </c>
      <c r="L55" s="45" t="e">
        <f t="shared" si="23"/>
        <v>#VALUE!</v>
      </c>
      <c r="M55" s="45" t="e">
        <f t="shared" si="24"/>
        <v>#VALUE!</v>
      </c>
      <c r="N55" s="45" t="e">
        <f t="shared" si="11"/>
        <v>#VALUE!</v>
      </c>
      <c r="O55" s="45" t="e">
        <f t="shared" si="12"/>
        <v>#VALUE!</v>
      </c>
      <c r="P55" s="45" t="e">
        <f t="shared" si="12"/>
        <v>#VALUE!</v>
      </c>
      <c r="Q55" s="45" t="e">
        <f t="shared" si="25"/>
        <v>#VALUE!</v>
      </c>
      <c r="R55" s="45" t="e">
        <f t="shared" si="13"/>
        <v>#VALUE!</v>
      </c>
      <c r="S55" s="45" t="e">
        <f t="shared" si="26"/>
        <v>#VALUE!</v>
      </c>
      <c r="T55" s="53">
        <v>28.1369606564142</v>
      </c>
      <c r="U55" s="45" t="e">
        <f t="shared" si="14"/>
        <v>#VALUE!</v>
      </c>
      <c r="V55" s="45" t="e">
        <f t="shared" si="15"/>
        <v>#VALUE!</v>
      </c>
      <c r="W55" s="45" t="e">
        <f t="shared" si="16"/>
        <v>#VALUE!</v>
      </c>
      <c r="X55" s="45" t="e">
        <f t="shared" si="2"/>
        <v>#VALUE!</v>
      </c>
      <c r="Y55" s="47" t="e">
        <f t="shared" si="28"/>
        <v>#VALUE!</v>
      </c>
      <c r="Z55" s="45">
        <f t="shared" si="3"/>
        <v>23.495684030877811</v>
      </c>
      <c r="AA55" s="49" t="e">
        <f t="shared" si="4"/>
        <v>#VALUE!</v>
      </c>
      <c r="AB55" s="45" t="e">
        <f t="shared" si="5"/>
        <v>#VALUE!</v>
      </c>
      <c r="AC55" s="48" t="e">
        <f t="shared" si="6"/>
        <v>#VALUE!</v>
      </c>
      <c r="AD55" s="48">
        <f t="shared" si="27"/>
        <v>4.1090909090909085</v>
      </c>
      <c r="AE55" s="48" t="e">
        <f t="shared" si="7"/>
        <v>#VALUE!</v>
      </c>
      <c r="AF55" s="48" t="e">
        <f t="shared" si="29"/>
        <v>#VALUE!</v>
      </c>
    </row>
    <row r="56" spans="1:32" x14ac:dyDescent="0.35">
      <c r="A56" s="40">
        <f t="shared" si="17"/>
        <v>-18</v>
      </c>
      <c r="B56" s="41">
        <f t="shared" si="9"/>
        <v>312.32727272727243</v>
      </c>
      <c r="C56" s="41" t="e">
        <f t="shared" si="10"/>
        <v>#VALUE!</v>
      </c>
      <c r="D56" s="41" t="e">
        <f t="shared" si="0"/>
        <v>#VALUE!</v>
      </c>
      <c r="E56" s="41" t="e">
        <f t="shared" si="18"/>
        <v>#VALUE!</v>
      </c>
      <c r="F56" s="43">
        <f t="shared" si="19"/>
        <v>0.6</v>
      </c>
      <c r="G56" s="43">
        <v>31.25</v>
      </c>
      <c r="H56" s="41" t="e">
        <f t="shared" si="20"/>
        <v>#VALUE!</v>
      </c>
      <c r="I56" s="51">
        <f t="shared" si="21"/>
        <v>0.6</v>
      </c>
      <c r="J56" s="42">
        <f t="shared" si="22"/>
        <v>4356.4502852925698</v>
      </c>
      <c r="K56" s="42">
        <f t="shared" si="1"/>
        <v>4327.3133246361558</v>
      </c>
      <c r="L56" s="45" t="e">
        <f t="shared" si="23"/>
        <v>#VALUE!</v>
      </c>
      <c r="M56" s="45" t="e">
        <f t="shared" si="24"/>
        <v>#VALUE!</v>
      </c>
      <c r="N56" s="45" t="e">
        <f t="shared" si="11"/>
        <v>#VALUE!</v>
      </c>
      <c r="O56" s="45" t="e">
        <f t="shared" si="12"/>
        <v>#VALUE!</v>
      </c>
      <c r="P56" s="45" t="e">
        <f t="shared" si="12"/>
        <v>#VALUE!</v>
      </c>
      <c r="Q56" s="45" t="e">
        <f t="shared" si="25"/>
        <v>#VALUE!</v>
      </c>
      <c r="R56" s="45" t="e">
        <f t="shared" si="13"/>
        <v>#VALUE!</v>
      </c>
      <c r="S56" s="45" t="e">
        <f t="shared" si="26"/>
        <v>#VALUE!</v>
      </c>
      <c r="T56" s="53">
        <v>29.1369606564142</v>
      </c>
      <c r="U56" s="45" t="e">
        <f t="shared" si="14"/>
        <v>#VALUE!</v>
      </c>
      <c r="V56" s="45" t="e">
        <f t="shared" si="15"/>
        <v>#VALUE!</v>
      </c>
      <c r="W56" s="45" t="e">
        <f t="shared" si="16"/>
        <v>#VALUE!</v>
      </c>
      <c r="X56" s="45" t="e">
        <f t="shared" si="2"/>
        <v>#VALUE!</v>
      </c>
      <c r="Y56" s="47" t="e">
        <f t="shared" si="28"/>
        <v>#VALUE!</v>
      </c>
      <c r="Z56" s="45">
        <f t="shared" si="3"/>
        <v>23.909562272840684</v>
      </c>
      <c r="AA56" s="49" t="e">
        <f t="shared" si="4"/>
        <v>#VALUE!</v>
      </c>
      <c r="AB56" s="45" t="e">
        <f t="shared" si="5"/>
        <v>#VALUE!</v>
      </c>
      <c r="AC56" s="48" t="e">
        <f t="shared" si="6"/>
        <v>#VALUE!</v>
      </c>
      <c r="AD56" s="48">
        <f t="shared" si="27"/>
        <v>4.1090909090909085</v>
      </c>
      <c r="AE56" s="48" t="e">
        <f t="shared" si="7"/>
        <v>#VALUE!</v>
      </c>
      <c r="AF56" s="48" t="e">
        <f t="shared" si="29"/>
        <v>#VALUE!</v>
      </c>
    </row>
    <row r="57" spans="1:32" x14ac:dyDescent="0.35">
      <c r="A57" s="40">
        <f t="shared" si="17"/>
        <v>-19</v>
      </c>
      <c r="B57" s="41">
        <f t="shared" si="9"/>
        <v>307.81818181818153</v>
      </c>
      <c r="C57" s="41" t="e">
        <f t="shared" si="10"/>
        <v>#VALUE!</v>
      </c>
      <c r="D57" s="41" t="e">
        <f t="shared" si="0"/>
        <v>#VALUE!</v>
      </c>
      <c r="E57" s="41" t="e">
        <f t="shared" si="18"/>
        <v>#VALUE!</v>
      </c>
      <c r="F57" s="43">
        <f t="shared" si="19"/>
        <v>0.6</v>
      </c>
      <c r="G57" s="43">
        <v>32.25</v>
      </c>
      <c r="H57" s="41" t="e">
        <f t="shared" si="20"/>
        <v>#VALUE!</v>
      </c>
      <c r="I57" s="51">
        <f t="shared" si="21"/>
        <v>0.6</v>
      </c>
      <c r="J57" s="42">
        <f t="shared" si="22"/>
        <v>4327.3133246361558</v>
      </c>
      <c r="K57" s="42">
        <f t="shared" si="1"/>
        <v>4297.1763639797418</v>
      </c>
      <c r="L57" s="45" t="e">
        <f t="shared" si="23"/>
        <v>#VALUE!</v>
      </c>
      <c r="M57" s="45" t="e">
        <f t="shared" si="24"/>
        <v>#VALUE!</v>
      </c>
      <c r="N57" s="45" t="e">
        <f t="shared" si="11"/>
        <v>#VALUE!</v>
      </c>
      <c r="O57" s="45" t="e">
        <f t="shared" si="12"/>
        <v>#VALUE!</v>
      </c>
      <c r="P57" s="45" t="e">
        <f t="shared" si="12"/>
        <v>#VALUE!</v>
      </c>
      <c r="Q57" s="45" t="e">
        <f t="shared" si="25"/>
        <v>#VALUE!</v>
      </c>
      <c r="R57" s="45" t="e">
        <f t="shared" si="13"/>
        <v>#VALUE!</v>
      </c>
      <c r="S57" s="45" t="e">
        <f t="shared" si="26"/>
        <v>#VALUE!</v>
      </c>
      <c r="T57" s="53">
        <v>30.1369606564142</v>
      </c>
      <c r="U57" s="45" t="e">
        <f t="shared" si="14"/>
        <v>#VALUE!</v>
      </c>
      <c r="V57" s="45" t="e">
        <f t="shared" si="15"/>
        <v>#VALUE!</v>
      </c>
      <c r="W57" s="45" t="e">
        <f t="shared" si="16"/>
        <v>#VALUE!</v>
      </c>
      <c r="X57" s="45" t="e">
        <f t="shared" si="2"/>
        <v>#VALUE!</v>
      </c>
      <c r="Y57" s="47" t="e">
        <f t="shared" si="28"/>
        <v>#VALUE!</v>
      </c>
      <c r="Z57" s="45">
        <f t="shared" si="3"/>
        <v>24.31639710316573</v>
      </c>
      <c r="AA57" s="49" t="e">
        <f t="shared" si="4"/>
        <v>#VALUE!</v>
      </c>
      <c r="AB57" s="45" t="e">
        <f t="shared" si="5"/>
        <v>#VALUE!</v>
      </c>
      <c r="AC57" s="48" t="e">
        <f t="shared" si="6"/>
        <v>#VALUE!</v>
      </c>
      <c r="AD57" s="48">
        <f t="shared" si="27"/>
        <v>4.1090909090909085</v>
      </c>
      <c r="AE57" s="48" t="e">
        <f t="shared" si="7"/>
        <v>#VALUE!</v>
      </c>
      <c r="AF57" s="48" t="e">
        <f t="shared" si="29"/>
        <v>#VALUE!</v>
      </c>
    </row>
    <row r="58" spans="1:32" x14ac:dyDescent="0.35">
      <c r="A58" s="40">
        <f t="shared" si="17"/>
        <v>-20</v>
      </c>
      <c r="B58" s="41">
        <f t="shared" si="9"/>
        <v>303.30909090909063</v>
      </c>
      <c r="C58" s="41" t="e">
        <f t="shared" si="10"/>
        <v>#VALUE!</v>
      </c>
      <c r="D58" s="41" t="e">
        <f t="shared" si="0"/>
        <v>#VALUE!</v>
      </c>
      <c r="E58" s="41" t="e">
        <f t="shared" si="18"/>
        <v>#VALUE!</v>
      </c>
      <c r="F58" s="43">
        <f t="shared" si="19"/>
        <v>0.6</v>
      </c>
      <c r="G58" s="43">
        <v>33.25</v>
      </c>
      <c r="H58" s="41" t="e">
        <f t="shared" si="20"/>
        <v>#VALUE!</v>
      </c>
      <c r="I58" s="51">
        <f t="shared" si="21"/>
        <v>0.6</v>
      </c>
      <c r="J58" s="42">
        <f t="shared" si="22"/>
        <v>4297.1763639797418</v>
      </c>
      <c r="K58" s="42">
        <f t="shared" si="1"/>
        <v>4266.0394033233279</v>
      </c>
      <c r="L58" s="45" t="e">
        <f t="shared" si="23"/>
        <v>#VALUE!</v>
      </c>
      <c r="M58" s="45" t="e">
        <f t="shared" si="24"/>
        <v>#VALUE!</v>
      </c>
      <c r="N58" s="45" t="e">
        <f t="shared" si="11"/>
        <v>#VALUE!</v>
      </c>
      <c r="O58" s="45" t="e">
        <f t="shared" si="12"/>
        <v>#VALUE!</v>
      </c>
      <c r="P58" s="45" t="e">
        <f t="shared" si="12"/>
        <v>#VALUE!</v>
      </c>
      <c r="Q58" s="45" t="e">
        <f t="shared" si="25"/>
        <v>#VALUE!</v>
      </c>
      <c r="R58" s="45" t="e">
        <f t="shared" si="13"/>
        <v>#VALUE!</v>
      </c>
      <c r="S58" s="45" t="e">
        <f t="shared" si="26"/>
        <v>#VALUE!</v>
      </c>
      <c r="T58" s="53">
        <v>31.1369606564142</v>
      </c>
      <c r="U58" s="45" t="e">
        <f t="shared" si="14"/>
        <v>#VALUE!</v>
      </c>
      <c r="V58" s="45" t="e">
        <f t="shared" si="15"/>
        <v>#VALUE!</v>
      </c>
      <c r="W58" s="45" t="e">
        <f t="shared" si="16"/>
        <v>#VALUE!</v>
      </c>
      <c r="X58" s="45" t="e">
        <f t="shared" si="2"/>
        <v>#VALUE!</v>
      </c>
      <c r="Y58" s="47" t="e">
        <f t="shared" si="28"/>
        <v>#VALUE!</v>
      </c>
      <c r="Z58" s="45">
        <f t="shared" si="3"/>
        <v>24.716536328515907</v>
      </c>
      <c r="AA58" s="49" t="e">
        <f t="shared" si="4"/>
        <v>#VALUE!</v>
      </c>
      <c r="AB58" s="45" t="e">
        <f t="shared" si="5"/>
        <v>#VALUE!</v>
      </c>
      <c r="AC58" s="48" t="e">
        <f t="shared" si="6"/>
        <v>#VALUE!</v>
      </c>
      <c r="AD58" s="48">
        <f t="shared" si="27"/>
        <v>4.1090909090909085</v>
      </c>
      <c r="AE58" s="48" t="e">
        <f t="shared" si="7"/>
        <v>#VALUE!</v>
      </c>
      <c r="AF58" s="48" t="e">
        <f t="shared" si="29"/>
        <v>#VALUE!</v>
      </c>
    </row>
    <row r="59" spans="1:32" x14ac:dyDescent="0.35">
      <c r="A59" s="40">
        <f t="shared" si="17"/>
        <v>-21</v>
      </c>
      <c r="B59" s="41">
        <f t="shared" si="9"/>
        <v>298.79999999999973</v>
      </c>
      <c r="C59" s="41" t="e">
        <f t="shared" si="10"/>
        <v>#VALUE!</v>
      </c>
      <c r="D59" s="41" t="e">
        <f t="shared" si="0"/>
        <v>#VALUE!</v>
      </c>
      <c r="E59" s="41" t="e">
        <f t="shared" si="18"/>
        <v>#VALUE!</v>
      </c>
      <c r="F59" s="43">
        <f t="shared" si="19"/>
        <v>0.6</v>
      </c>
      <c r="G59" s="43">
        <v>34.25</v>
      </c>
      <c r="H59" s="41" t="e">
        <f t="shared" si="20"/>
        <v>#VALUE!</v>
      </c>
      <c r="I59" s="51">
        <f t="shared" si="21"/>
        <v>0.6</v>
      </c>
      <c r="J59" s="42">
        <f t="shared" si="22"/>
        <v>4266.0394033233279</v>
      </c>
      <c r="K59" s="42">
        <f t="shared" si="1"/>
        <v>4233.9024426669139</v>
      </c>
      <c r="L59" s="45" t="e">
        <f t="shared" si="23"/>
        <v>#VALUE!</v>
      </c>
      <c r="M59" s="45" t="e">
        <f t="shared" si="24"/>
        <v>#VALUE!</v>
      </c>
      <c r="N59" s="45" t="e">
        <f t="shared" si="11"/>
        <v>#VALUE!</v>
      </c>
      <c r="O59" s="45" t="e">
        <f t="shared" si="12"/>
        <v>#VALUE!</v>
      </c>
      <c r="P59" s="45" t="e">
        <f t="shared" si="12"/>
        <v>#VALUE!</v>
      </c>
      <c r="Q59" s="45" t="e">
        <f t="shared" si="25"/>
        <v>#VALUE!</v>
      </c>
      <c r="R59" s="45" t="e">
        <f t="shared" si="13"/>
        <v>#VALUE!</v>
      </c>
      <c r="S59" s="45" t="e">
        <f t="shared" si="26"/>
        <v>#VALUE!</v>
      </c>
      <c r="T59" s="53">
        <v>32.136960656414203</v>
      </c>
      <c r="U59" s="45" t="e">
        <f t="shared" si="14"/>
        <v>#VALUE!</v>
      </c>
      <c r="V59" s="45" t="e">
        <f t="shared" si="15"/>
        <v>#VALUE!</v>
      </c>
      <c r="W59" s="45" t="e">
        <f t="shared" si="16"/>
        <v>#VALUE!</v>
      </c>
      <c r="X59" s="45" t="e">
        <f t="shared" si="2"/>
        <v>#VALUE!</v>
      </c>
      <c r="Y59" s="47" t="e">
        <f t="shared" si="28"/>
        <v>#VALUE!</v>
      </c>
      <c r="Z59" s="45">
        <f t="shared" si="3"/>
        <v>25.110300039602208</v>
      </c>
      <c r="AA59" s="49" t="e">
        <f t="shared" si="4"/>
        <v>#VALUE!</v>
      </c>
      <c r="AB59" s="45" t="e">
        <f t="shared" si="5"/>
        <v>#VALUE!</v>
      </c>
      <c r="AC59" s="48" t="e">
        <f t="shared" si="6"/>
        <v>#VALUE!</v>
      </c>
      <c r="AD59" s="48">
        <f t="shared" si="27"/>
        <v>4.1090909090909085</v>
      </c>
      <c r="AE59" s="48" t="e">
        <f t="shared" si="7"/>
        <v>#VALUE!</v>
      </c>
      <c r="AF59" s="48" t="e">
        <f t="shared" si="29"/>
        <v>#VALUE!</v>
      </c>
    </row>
    <row r="60" spans="1:32" x14ac:dyDescent="0.35">
      <c r="A60" s="40">
        <f t="shared" si="17"/>
        <v>-22</v>
      </c>
      <c r="B60" s="41">
        <f t="shared" si="9"/>
        <v>294.29090909090883</v>
      </c>
      <c r="C60" s="41" t="e">
        <f t="shared" si="10"/>
        <v>#VALUE!</v>
      </c>
      <c r="D60" s="41" t="e">
        <f t="shared" si="0"/>
        <v>#VALUE!</v>
      </c>
      <c r="E60" s="41" t="e">
        <f t="shared" si="18"/>
        <v>#VALUE!</v>
      </c>
      <c r="F60" s="43">
        <f t="shared" si="19"/>
        <v>0.6</v>
      </c>
      <c r="G60" s="43">
        <v>35.25</v>
      </c>
      <c r="H60" s="41" t="e">
        <f t="shared" si="20"/>
        <v>#VALUE!</v>
      </c>
      <c r="I60" s="51">
        <f t="shared" si="21"/>
        <v>0.6</v>
      </c>
      <c r="J60" s="42">
        <f t="shared" si="22"/>
        <v>4233.9024426669139</v>
      </c>
      <c r="K60" s="42">
        <f t="shared" si="1"/>
        <v>4200.7654820104999</v>
      </c>
      <c r="L60" s="45" t="e">
        <f t="shared" si="23"/>
        <v>#VALUE!</v>
      </c>
      <c r="M60" s="45" t="e">
        <f t="shared" si="24"/>
        <v>#VALUE!</v>
      </c>
      <c r="N60" s="45" t="e">
        <f t="shared" si="11"/>
        <v>#VALUE!</v>
      </c>
      <c r="O60" s="45" t="e">
        <f t="shared" si="12"/>
        <v>#VALUE!</v>
      </c>
      <c r="P60" s="45" t="e">
        <f t="shared" si="12"/>
        <v>#VALUE!</v>
      </c>
      <c r="Q60" s="45" t="e">
        <f t="shared" si="25"/>
        <v>#VALUE!</v>
      </c>
      <c r="R60" s="45" t="e">
        <f t="shared" si="13"/>
        <v>#VALUE!</v>
      </c>
      <c r="S60" s="45" t="e">
        <f t="shared" si="26"/>
        <v>#VALUE!</v>
      </c>
      <c r="T60" s="53">
        <v>33.136960656414203</v>
      </c>
      <c r="U60" s="45" t="e">
        <f t="shared" si="14"/>
        <v>#VALUE!</v>
      </c>
      <c r="V60" s="45" t="e">
        <f t="shared" si="15"/>
        <v>#VALUE!</v>
      </c>
      <c r="W60" s="45" t="e">
        <f t="shared" si="16"/>
        <v>#VALUE!</v>
      </c>
      <c r="X60" s="45" t="e">
        <f t="shared" si="2"/>
        <v>#VALUE!</v>
      </c>
      <c r="Y60" s="47" t="e">
        <f t="shared" si="28"/>
        <v>#VALUE!</v>
      </c>
      <c r="Z60" s="45">
        <f t="shared" si="3"/>
        <v>25.497983608098242</v>
      </c>
      <c r="AA60" s="49" t="e">
        <f t="shared" si="4"/>
        <v>#VALUE!</v>
      </c>
      <c r="AB60" s="45" t="e">
        <f t="shared" si="5"/>
        <v>#VALUE!</v>
      </c>
      <c r="AC60" s="48" t="e">
        <f t="shared" si="6"/>
        <v>#VALUE!</v>
      </c>
      <c r="AD60" s="48">
        <f t="shared" si="27"/>
        <v>4.1090909090909085</v>
      </c>
      <c r="AE60" s="48" t="e">
        <f t="shared" si="7"/>
        <v>#VALUE!</v>
      </c>
      <c r="AF60" s="48" t="e">
        <f t="shared" si="29"/>
        <v>#VALUE!</v>
      </c>
    </row>
    <row r="61" spans="1:32" x14ac:dyDescent="0.35">
      <c r="A61" s="40">
        <f t="shared" si="17"/>
        <v>-23</v>
      </c>
      <c r="B61" s="41">
        <f t="shared" si="9"/>
        <v>289.78181818181793</v>
      </c>
      <c r="C61" s="41" t="e">
        <f t="shared" si="10"/>
        <v>#VALUE!</v>
      </c>
      <c r="D61" s="41" t="e">
        <f t="shared" si="0"/>
        <v>#VALUE!</v>
      </c>
      <c r="E61" s="41" t="e">
        <f t="shared" si="18"/>
        <v>#VALUE!</v>
      </c>
      <c r="F61" s="43">
        <f t="shared" si="19"/>
        <v>0.6</v>
      </c>
      <c r="G61" s="43">
        <v>36.25</v>
      </c>
      <c r="H61" s="41" t="e">
        <f t="shared" si="20"/>
        <v>#VALUE!</v>
      </c>
      <c r="I61" s="51">
        <f t="shared" si="21"/>
        <v>0.6</v>
      </c>
      <c r="J61" s="42">
        <f t="shared" si="22"/>
        <v>4200.7654820104999</v>
      </c>
      <c r="K61" s="42">
        <f t="shared" si="1"/>
        <v>4166.6285213540859</v>
      </c>
      <c r="L61" s="45" t="e">
        <f t="shared" si="23"/>
        <v>#VALUE!</v>
      </c>
      <c r="M61" s="45" t="e">
        <f t="shared" si="24"/>
        <v>#VALUE!</v>
      </c>
      <c r="N61" s="45" t="e">
        <f t="shared" si="11"/>
        <v>#VALUE!</v>
      </c>
      <c r="O61" s="45" t="e">
        <f t="shared" si="12"/>
        <v>#VALUE!</v>
      </c>
      <c r="P61" s="45" t="e">
        <f t="shared" si="12"/>
        <v>#VALUE!</v>
      </c>
      <c r="Q61" s="45" t="e">
        <f t="shared" si="25"/>
        <v>#VALUE!</v>
      </c>
      <c r="R61" s="45" t="e">
        <f t="shared" si="13"/>
        <v>#VALUE!</v>
      </c>
      <c r="S61" s="45" t="e">
        <f t="shared" si="26"/>
        <v>#VALUE!</v>
      </c>
      <c r="T61" s="53">
        <v>34.136960656414203</v>
      </c>
      <c r="U61" s="45" t="e">
        <f t="shared" si="14"/>
        <v>#VALUE!</v>
      </c>
      <c r="V61" s="45" t="e">
        <f t="shared" si="15"/>
        <v>#VALUE!</v>
      </c>
      <c r="W61" s="45" t="e">
        <f t="shared" si="16"/>
        <v>#VALUE!</v>
      </c>
      <c r="X61" s="45" t="e">
        <f t="shared" si="2"/>
        <v>#VALUE!</v>
      </c>
      <c r="Y61" s="47" t="e">
        <f t="shared" si="28"/>
        <v>#VALUE!</v>
      </c>
      <c r="Z61" s="45">
        <f t="shared" si="3"/>
        <v>25.879860279353263</v>
      </c>
      <c r="AA61" s="49" t="e">
        <f t="shared" si="4"/>
        <v>#VALUE!</v>
      </c>
      <c r="AB61" s="45" t="e">
        <f t="shared" si="5"/>
        <v>#VALUE!</v>
      </c>
      <c r="AC61" s="48" t="e">
        <f t="shared" si="6"/>
        <v>#VALUE!</v>
      </c>
      <c r="AD61" s="48">
        <f t="shared" si="27"/>
        <v>4.1090909090909085</v>
      </c>
      <c r="AE61" s="48" t="e">
        <f t="shared" si="7"/>
        <v>#VALUE!</v>
      </c>
      <c r="AF61" s="48" t="e">
        <f t="shared" si="29"/>
        <v>#VALUE!</v>
      </c>
    </row>
    <row r="62" spans="1:32" x14ac:dyDescent="0.35">
      <c r="A62" s="40">
        <f t="shared" si="17"/>
        <v>-24</v>
      </c>
      <c r="B62" s="41">
        <f t="shared" si="9"/>
        <v>285.27272727272702</v>
      </c>
      <c r="C62" s="41" t="e">
        <f t="shared" si="10"/>
        <v>#VALUE!</v>
      </c>
      <c r="D62" s="41" t="e">
        <f t="shared" si="0"/>
        <v>#VALUE!</v>
      </c>
      <c r="E62" s="41" t="e">
        <f t="shared" si="18"/>
        <v>#VALUE!</v>
      </c>
      <c r="F62" s="43">
        <f t="shared" si="19"/>
        <v>0.6</v>
      </c>
      <c r="G62" s="43">
        <v>37.25</v>
      </c>
      <c r="H62" s="41" t="e">
        <f t="shared" si="20"/>
        <v>#VALUE!</v>
      </c>
      <c r="I62" s="51">
        <f t="shared" si="21"/>
        <v>0.6</v>
      </c>
      <c r="J62" s="42">
        <f t="shared" si="22"/>
        <v>4166.6285213540859</v>
      </c>
      <c r="K62" s="42">
        <f t="shared" si="1"/>
        <v>4131.491560697672</v>
      </c>
      <c r="L62" s="45" t="e">
        <f t="shared" si="23"/>
        <v>#VALUE!</v>
      </c>
      <c r="M62" s="45" t="e">
        <f t="shared" si="24"/>
        <v>#VALUE!</v>
      </c>
      <c r="N62" s="45" t="e">
        <f t="shared" si="11"/>
        <v>#VALUE!</v>
      </c>
      <c r="O62" s="45" t="e">
        <f t="shared" si="12"/>
        <v>#VALUE!</v>
      </c>
      <c r="P62" s="45" t="e">
        <f t="shared" si="12"/>
        <v>#VALUE!</v>
      </c>
      <c r="Q62" s="45" t="e">
        <f t="shared" si="25"/>
        <v>#VALUE!</v>
      </c>
      <c r="R62" s="45" t="e">
        <f t="shared" si="13"/>
        <v>#VALUE!</v>
      </c>
      <c r="S62" s="45" t="e">
        <f t="shared" si="26"/>
        <v>#VALUE!</v>
      </c>
      <c r="T62" s="53">
        <v>35.136960656414203</v>
      </c>
      <c r="U62" s="45" t="e">
        <f t="shared" si="14"/>
        <v>#VALUE!</v>
      </c>
      <c r="V62" s="45" t="e">
        <f t="shared" si="15"/>
        <v>#VALUE!</v>
      </c>
      <c r="W62" s="45" t="e">
        <f t="shared" si="16"/>
        <v>#VALUE!</v>
      </c>
      <c r="X62" s="45" t="e">
        <f t="shared" si="2"/>
        <v>#VALUE!</v>
      </c>
      <c r="Y62" s="47" t="e">
        <f t="shared" si="28"/>
        <v>#VALUE!</v>
      </c>
      <c r="Z62" s="45">
        <f t="shared" si="3"/>
        <v>26.256183425601801</v>
      </c>
      <c r="AA62" s="49" t="e">
        <f t="shared" si="4"/>
        <v>#VALUE!</v>
      </c>
      <c r="AB62" s="45" t="e">
        <f t="shared" si="5"/>
        <v>#VALUE!</v>
      </c>
      <c r="AC62" s="48" t="e">
        <f t="shared" si="6"/>
        <v>#VALUE!</v>
      </c>
      <c r="AD62" s="48">
        <f t="shared" si="27"/>
        <v>4.1090909090909085</v>
      </c>
      <c r="AE62" s="48" t="e">
        <f t="shared" si="7"/>
        <v>#VALUE!</v>
      </c>
      <c r="AF62" s="48" t="e">
        <f t="shared" si="29"/>
        <v>#VALUE!</v>
      </c>
    </row>
    <row r="63" spans="1:32" x14ac:dyDescent="0.35">
      <c r="A63" s="40">
        <f t="shared" si="17"/>
        <v>-25</v>
      </c>
      <c r="B63" s="41">
        <f t="shared" si="9"/>
        <v>280.76363636363612</v>
      </c>
      <c r="C63" s="41" t="e">
        <f t="shared" si="10"/>
        <v>#VALUE!</v>
      </c>
      <c r="D63" s="41" t="e">
        <f t="shared" si="0"/>
        <v>#VALUE!</v>
      </c>
      <c r="E63" s="41" t="e">
        <f t="shared" si="18"/>
        <v>#VALUE!</v>
      </c>
      <c r="F63" s="43">
        <f t="shared" si="19"/>
        <v>0.6</v>
      </c>
      <c r="G63" s="43">
        <v>38.25</v>
      </c>
      <c r="H63" s="41" t="e">
        <f t="shared" si="20"/>
        <v>#VALUE!</v>
      </c>
      <c r="I63" s="51">
        <f t="shared" si="21"/>
        <v>0.6</v>
      </c>
      <c r="J63" s="42">
        <f t="shared" si="22"/>
        <v>4131.491560697672</v>
      </c>
      <c r="K63" s="42">
        <f t="shared" si="1"/>
        <v>4095.354600041258</v>
      </c>
      <c r="L63" s="45" t="e">
        <f t="shared" si="23"/>
        <v>#VALUE!</v>
      </c>
      <c r="M63" s="45" t="e">
        <f t="shared" si="24"/>
        <v>#VALUE!</v>
      </c>
      <c r="N63" s="45" t="e">
        <f t="shared" si="11"/>
        <v>#VALUE!</v>
      </c>
      <c r="O63" s="45" t="e">
        <f t="shared" si="12"/>
        <v>#VALUE!</v>
      </c>
      <c r="P63" s="45" t="e">
        <f t="shared" si="12"/>
        <v>#VALUE!</v>
      </c>
      <c r="Q63" s="45" t="e">
        <f t="shared" si="25"/>
        <v>#VALUE!</v>
      </c>
      <c r="R63" s="45" t="e">
        <f t="shared" si="13"/>
        <v>#VALUE!</v>
      </c>
      <c r="S63" s="45" t="e">
        <f t="shared" si="26"/>
        <v>#VALUE!</v>
      </c>
      <c r="T63" s="53">
        <v>36.136960656414203</v>
      </c>
      <c r="U63" s="45" t="e">
        <f t="shared" si="14"/>
        <v>#VALUE!</v>
      </c>
      <c r="V63" s="45" t="e">
        <f t="shared" si="15"/>
        <v>#VALUE!</v>
      </c>
      <c r="W63" s="45" t="e">
        <f t="shared" si="16"/>
        <v>#VALUE!</v>
      </c>
      <c r="X63" s="45" t="e">
        <f t="shared" si="2"/>
        <v>#VALUE!</v>
      </c>
      <c r="Y63" s="47" t="e">
        <f t="shared" si="28"/>
        <v>#VALUE!</v>
      </c>
      <c r="Z63" s="45">
        <f t="shared" si="3"/>
        <v>26.627188512474362</v>
      </c>
      <c r="AA63" s="49" t="e">
        <f t="shared" si="4"/>
        <v>#VALUE!</v>
      </c>
      <c r="AB63" s="45" t="e">
        <f t="shared" si="5"/>
        <v>#VALUE!</v>
      </c>
      <c r="AC63" s="48" t="e">
        <f t="shared" si="6"/>
        <v>#VALUE!</v>
      </c>
      <c r="AD63" s="48">
        <f t="shared" si="27"/>
        <v>4.1090909090909085</v>
      </c>
      <c r="AE63" s="48" t="e">
        <f t="shared" si="7"/>
        <v>#VALUE!</v>
      </c>
      <c r="AF63" s="48" t="e">
        <f t="shared" si="29"/>
        <v>#VALUE!</v>
      </c>
    </row>
    <row r="64" spans="1:32" x14ac:dyDescent="0.35">
      <c r="A64" s="40">
        <f t="shared" si="17"/>
        <v>-26</v>
      </c>
      <c r="B64" s="41">
        <f t="shared" si="9"/>
        <v>276.25454545454522</v>
      </c>
      <c r="C64" s="41" t="e">
        <f t="shared" si="10"/>
        <v>#VALUE!</v>
      </c>
      <c r="D64" s="41" t="e">
        <f t="shared" si="0"/>
        <v>#VALUE!</v>
      </c>
      <c r="E64" s="41" t="e">
        <f t="shared" si="18"/>
        <v>#VALUE!</v>
      </c>
      <c r="F64" s="43">
        <f t="shared" si="19"/>
        <v>0.6</v>
      </c>
      <c r="G64" s="43">
        <v>39.25</v>
      </c>
      <c r="H64" s="41" t="e">
        <f t="shared" si="20"/>
        <v>#VALUE!</v>
      </c>
      <c r="I64" s="51">
        <f t="shared" si="21"/>
        <v>0.6</v>
      </c>
      <c r="J64" s="42">
        <f t="shared" si="22"/>
        <v>4095.354600041258</v>
      </c>
      <c r="K64" s="42">
        <f t="shared" si="1"/>
        <v>4058.217639384844</v>
      </c>
      <c r="L64" s="45" t="e">
        <f t="shared" si="23"/>
        <v>#VALUE!</v>
      </c>
      <c r="M64" s="45" t="e">
        <f t="shared" si="24"/>
        <v>#VALUE!</v>
      </c>
      <c r="N64" s="45" t="e">
        <f t="shared" si="11"/>
        <v>#VALUE!</v>
      </c>
      <c r="O64" s="45" t="e">
        <f t="shared" si="12"/>
        <v>#VALUE!</v>
      </c>
      <c r="P64" s="45" t="e">
        <f t="shared" si="12"/>
        <v>#VALUE!</v>
      </c>
      <c r="Q64" s="45" t="e">
        <f t="shared" si="25"/>
        <v>#VALUE!</v>
      </c>
      <c r="R64" s="45" t="e">
        <f t="shared" si="13"/>
        <v>#VALUE!</v>
      </c>
      <c r="S64" s="45" t="e">
        <f t="shared" si="26"/>
        <v>#VALUE!</v>
      </c>
      <c r="T64" s="53">
        <v>37.136960656414203</v>
      </c>
      <c r="U64" s="45" t="e">
        <f t="shared" si="14"/>
        <v>#VALUE!</v>
      </c>
      <c r="V64" s="45" t="e">
        <f t="shared" si="15"/>
        <v>#VALUE!</v>
      </c>
      <c r="W64" s="45" t="e">
        <f t="shared" si="16"/>
        <v>#VALUE!</v>
      </c>
      <c r="X64" s="45" t="e">
        <f t="shared" si="2"/>
        <v>#VALUE!</v>
      </c>
      <c r="Y64" s="47" t="e">
        <f t="shared" si="28"/>
        <v>#VALUE!</v>
      </c>
      <c r="Z64" s="45">
        <f t="shared" si="3"/>
        <v>26.993094822173443</v>
      </c>
      <c r="AA64" s="49" t="e">
        <f t="shared" si="4"/>
        <v>#VALUE!</v>
      </c>
      <c r="AB64" s="45" t="e">
        <f t="shared" si="5"/>
        <v>#VALUE!</v>
      </c>
      <c r="AC64" s="48" t="e">
        <f t="shared" si="6"/>
        <v>#VALUE!</v>
      </c>
      <c r="AD64" s="48">
        <f t="shared" si="27"/>
        <v>4.1090909090909085</v>
      </c>
      <c r="AE64" s="48" t="e">
        <f t="shared" si="7"/>
        <v>#VALUE!</v>
      </c>
      <c r="AF64" s="48" t="e">
        <f t="shared" si="29"/>
        <v>#VALUE!</v>
      </c>
    </row>
    <row r="65" spans="1:32" x14ac:dyDescent="0.35">
      <c r="A65" s="40">
        <f t="shared" si="17"/>
        <v>-27</v>
      </c>
      <c r="B65" s="41">
        <f t="shared" si="9"/>
        <v>271.74545454545432</v>
      </c>
      <c r="C65" s="41" t="e">
        <f t="shared" si="10"/>
        <v>#VALUE!</v>
      </c>
      <c r="D65" s="41" t="e">
        <f t="shared" si="0"/>
        <v>#VALUE!</v>
      </c>
      <c r="E65" s="41" t="e">
        <f t="shared" si="18"/>
        <v>#VALUE!</v>
      </c>
      <c r="F65" s="43">
        <f t="shared" si="19"/>
        <v>0.6</v>
      </c>
      <c r="G65" s="43">
        <v>40.25</v>
      </c>
      <c r="H65" s="41" t="e">
        <f t="shared" si="20"/>
        <v>#VALUE!</v>
      </c>
      <c r="I65" s="51">
        <f t="shared" si="21"/>
        <v>0.6</v>
      </c>
      <c r="J65" s="42">
        <f t="shared" si="22"/>
        <v>4058.217639384844</v>
      </c>
      <c r="K65" s="42">
        <f t="shared" si="1"/>
        <v>4020.08067872843</v>
      </c>
      <c r="L65" s="45" t="e">
        <f t="shared" si="23"/>
        <v>#VALUE!</v>
      </c>
      <c r="M65" s="45" t="e">
        <f t="shared" si="24"/>
        <v>#VALUE!</v>
      </c>
      <c r="N65" s="45" t="e">
        <f t="shared" si="11"/>
        <v>#VALUE!</v>
      </c>
      <c r="O65" s="45" t="e">
        <f t="shared" si="12"/>
        <v>#VALUE!</v>
      </c>
      <c r="P65" s="45" t="e">
        <f t="shared" si="12"/>
        <v>#VALUE!</v>
      </c>
      <c r="Q65" s="45" t="e">
        <f t="shared" si="25"/>
        <v>#VALUE!</v>
      </c>
      <c r="R65" s="45" t="e">
        <f t="shared" si="13"/>
        <v>#VALUE!</v>
      </c>
      <c r="S65" s="45" t="e">
        <f t="shared" si="26"/>
        <v>#VALUE!</v>
      </c>
      <c r="T65" s="53">
        <v>38.136960656414203</v>
      </c>
      <c r="U65" s="45" t="e">
        <f t="shared" si="14"/>
        <v>#VALUE!</v>
      </c>
      <c r="V65" s="45" t="e">
        <f t="shared" si="15"/>
        <v>#VALUE!</v>
      </c>
      <c r="W65" s="45" t="e">
        <f t="shared" si="16"/>
        <v>#VALUE!</v>
      </c>
      <c r="X65" s="45" t="e">
        <f t="shared" si="2"/>
        <v>#VALUE!</v>
      </c>
      <c r="Y65" s="47" t="e">
        <f t="shared" si="28"/>
        <v>#VALUE!</v>
      </c>
      <c r="Z65" s="45">
        <f t="shared" si="3"/>
        <v>27.354106969134392</v>
      </c>
      <c r="AA65" s="49" t="e">
        <f t="shared" si="4"/>
        <v>#VALUE!</v>
      </c>
      <c r="AB65" s="45" t="e">
        <f t="shared" si="5"/>
        <v>#VALUE!</v>
      </c>
      <c r="AC65" s="48" t="e">
        <f t="shared" si="6"/>
        <v>#VALUE!</v>
      </c>
      <c r="AD65" s="48">
        <f t="shared" si="27"/>
        <v>4.1090909090909085</v>
      </c>
      <c r="AE65" s="48" t="e">
        <f t="shared" si="7"/>
        <v>#VALUE!</v>
      </c>
      <c r="AF65" s="48" t="e">
        <f t="shared" si="29"/>
        <v>#VALUE!</v>
      </c>
    </row>
    <row r="66" spans="1:32" x14ac:dyDescent="0.35">
      <c r="A66" s="40">
        <f t="shared" si="17"/>
        <v>-28</v>
      </c>
      <c r="B66" s="41">
        <f t="shared" si="9"/>
        <v>267.23636363636342</v>
      </c>
      <c r="C66" s="41" t="e">
        <f t="shared" si="10"/>
        <v>#VALUE!</v>
      </c>
      <c r="D66" s="41" t="e">
        <f t="shared" si="0"/>
        <v>#VALUE!</v>
      </c>
      <c r="E66" s="41" t="e">
        <f t="shared" si="18"/>
        <v>#VALUE!</v>
      </c>
      <c r="F66" s="43">
        <f t="shared" si="19"/>
        <v>0.6</v>
      </c>
      <c r="G66" s="43">
        <v>41.25</v>
      </c>
      <c r="H66" s="41" t="e">
        <f t="shared" si="20"/>
        <v>#VALUE!</v>
      </c>
      <c r="I66" s="51">
        <f t="shared" si="21"/>
        <v>0.6</v>
      </c>
      <c r="J66" s="42">
        <f t="shared" si="22"/>
        <v>4020.08067872843</v>
      </c>
      <c r="K66" s="42">
        <f t="shared" si="1"/>
        <v>3980.9437180720161</v>
      </c>
      <c r="L66" s="45" t="e">
        <f t="shared" si="23"/>
        <v>#VALUE!</v>
      </c>
      <c r="M66" s="45" t="e">
        <f t="shared" si="24"/>
        <v>#VALUE!</v>
      </c>
      <c r="N66" s="45" t="e">
        <f t="shared" si="11"/>
        <v>#VALUE!</v>
      </c>
      <c r="O66" s="45" t="e">
        <f t="shared" si="12"/>
        <v>#VALUE!</v>
      </c>
      <c r="P66" s="45" t="e">
        <f t="shared" si="12"/>
        <v>#VALUE!</v>
      </c>
      <c r="Q66" s="45" t="e">
        <f t="shared" si="25"/>
        <v>#VALUE!</v>
      </c>
      <c r="R66" s="45" t="e">
        <f t="shared" si="13"/>
        <v>#VALUE!</v>
      </c>
      <c r="S66" s="45" t="e">
        <f t="shared" si="26"/>
        <v>#VALUE!</v>
      </c>
      <c r="T66" s="53">
        <v>39.136960656414203</v>
      </c>
      <c r="U66" s="45" t="e">
        <f t="shared" si="14"/>
        <v>#VALUE!</v>
      </c>
      <c r="V66" s="45" t="e">
        <f t="shared" si="15"/>
        <v>#VALUE!</v>
      </c>
      <c r="W66" s="45" t="e">
        <f t="shared" si="16"/>
        <v>#VALUE!</v>
      </c>
      <c r="X66" s="45" t="e">
        <f t="shared" si="2"/>
        <v>#VALUE!</v>
      </c>
      <c r="Y66" s="47" t="e">
        <f t="shared" si="28"/>
        <v>#VALUE!</v>
      </c>
      <c r="Z66" s="45">
        <f t="shared" si="3"/>
        <v>27.710416237921198</v>
      </c>
      <c r="AA66" s="49" t="e">
        <f t="shared" si="4"/>
        <v>#VALUE!</v>
      </c>
      <c r="AB66" s="45" t="e">
        <f t="shared" si="5"/>
        <v>#VALUE!</v>
      </c>
      <c r="AC66" s="48" t="e">
        <f t="shared" si="6"/>
        <v>#VALUE!</v>
      </c>
      <c r="AD66" s="48">
        <f t="shared" si="27"/>
        <v>4.1090909090909085</v>
      </c>
      <c r="AE66" s="48" t="e">
        <f t="shared" si="7"/>
        <v>#VALUE!</v>
      </c>
      <c r="AF66" s="48" t="e">
        <f t="shared" si="29"/>
        <v>#VALUE!</v>
      </c>
    </row>
    <row r="67" spans="1:32" x14ac:dyDescent="0.35">
      <c r="A67" s="40">
        <f t="shared" si="17"/>
        <v>-29</v>
      </c>
      <c r="B67" s="41">
        <f t="shared" si="9"/>
        <v>262.72727272727252</v>
      </c>
      <c r="C67" s="41" t="e">
        <f t="shared" si="10"/>
        <v>#VALUE!</v>
      </c>
      <c r="D67" s="41" t="e">
        <f t="shared" si="0"/>
        <v>#VALUE!</v>
      </c>
      <c r="E67" s="41" t="e">
        <f t="shared" si="18"/>
        <v>#VALUE!</v>
      </c>
      <c r="F67" s="43">
        <f t="shared" si="19"/>
        <v>0.6</v>
      </c>
      <c r="G67" s="43">
        <v>42.25</v>
      </c>
      <c r="H67" s="41" t="e">
        <f t="shared" si="20"/>
        <v>#VALUE!</v>
      </c>
      <c r="I67" s="51">
        <f t="shared" si="21"/>
        <v>0.6</v>
      </c>
      <c r="J67" s="42">
        <f t="shared" si="22"/>
        <v>3980.9437180720161</v>
      </c>
      <c r="K67" s="42">
        <f t="shared" si="1"/>
        <v>3940.8067574156021</v>
      </c>
      <c r="L67" s="45" t="e">
        <f t="shared" si="23"/>
        <v>#VALUE!</v>
      </c>
      <c r="M67" s="45" t="e">
        <f t="shared" si="24"/>
        <v>#VALUE!</v>
      </c>
      <c r="N67" s="45" t="e">
        <f t="shared" si="11"/>
        <v>#VALUE!</v>
      </c>
      <c r="O67" s="45" t="e">
        <f t="shared" si="12"/>
        <v>#VALUE!</v>
      </c>
      <c r="P67" s="45" t="e">
        <f t="shared" si="12"/>
        <v>#VALUE!</v>
      </c>
      <c r="Q67" s="45" t="e">
        <f t="shared" si="25"/>
        <v>#VALUE!</v>
      </c>
      <c r="R67" s="45" t="e">
        <f t="shared" si="13"/>
        <v>#VALUE!</v>
      </c>
      <c r="S67" s="45" t="e">
        <f t="shared" si="26"/>
        <v>#VALUE!</v>
      </c>
      <c r="T67" s="53">
        <v>40.136960656414203</v>
      </c>
      <c r="U67" s="45" t="e">
        <f t="shared" si="14"/>
        <v>#VALUE!</v>
      </c>
      <c r="V67" s="45" t="e">
        <f t="shared" si="15"/>
        <v>#VALUE!</v>
      </c>
      <c r="W67" s="45" t="e">
        <f t="shared" si="16"/>
        <v>#VALUE!</v>
      </c>
      <c r="X67" s="45" t="e">
        <f t="shared" si="2"/>
        <v>#VALUE!</v>
      </c>
      <c r="Y67" s="47" t="e">
        <f t="shared" si="28"/>
        <v>#VALUE!</v>
      </c>
      <c r="Z67" s="45">
        <f t="shared" si="3"/>
        <v>28.062201768194289</v>
      </c>
      <c r="AA67" s="49" t="e">
        <f t="shared" si="4"/>
        <v>#VALUE!</v>
      </c>
      <c r="AB67" s="45" t="e">
        <f t="shared" si="5"/>
        <v>#VALUE!</v>
      </c>
      <c r="AC67" s="48" t="e">
        <f t="shared" si="6"/>
        <v>#VALUE!</v>
      </c>
      <c r="AD67" s="48">
        <f t="shared" si="27"/>
        <v>4.1090909090909085</v>
      </c>
      <c r="AE67" s="48" t="e">
        <f t="shared" si="7"/>
        <v>#VALUE!</v>
      </c>
      <c r="AF67" s="48" t="e">
        <f t="shared" si="29"/>
        <v>#VALUE!</v>
      </c>
    </row>
    <row r="68" spans="1:32" x14ac:dyDescent="0.35">
      <c r="A68" s="40">
        <f t="shared" si="17"/>
        <v>-30</v>
      </c>
      <c r="B68" s="41">
        <f t="shared" si="9"/>
        <v>258.21818181818162</v>
      </c>
      <c r="C68" s="41" t="e">
        <f t="shared" si="10"/>
        <v>#VALUE!</v>
      </c>
      <c r="D68" s="41" t="e">
        <f t="shared" si="0"/>
        <v>#VALUE!</v>
      </c>
      <c r="E68" s="41" t="e">
        <f t="shared" si="18"/>
        <v>#VALUE!</v>
      </c>
      <c r="F68" s="43">
        <f t="shared" si="19"/>
        <v>0.6</v>
      </c>
      <c r="G68" s="43">
        <v>43.25</v>
      </c>
      <c r="H68" s="41" t="e">
        <f t="shared" si="20"/>
        <v>#VALUE!</v>
      </c>
      <c r="I68" s="51">
        <f t="shared" si="21"/>
        <v>0.6</v>
      </c>
      <c r="J68" s="42">
        <f t="shared" si="22"/>
        <v>3940.8067574156021</v>
      </c>
      <c r="K68" s="42">
        <f t="shared" si="1"/>
        <v>3899.6697967591881</v>
      </c>
      <c r="L68" s="45" t="e">
        <f t="shared" si="23"/>
        <v>#VALUE!</v>
      </c>
      <c r="M68" s="45" t="e">
        <f t="shared" si="24"/>
        <v>#VALUE!</v>
      </c>
      <c r="N68" s="45" t="e">
        <f t="shared" si="11"/>
        <v>#VALUE!</v>
      </c>
      <c r="O68" s="45" t="e">
        <f t="shared" si="12"/>
        <v>#VALUE!</v>
      </c>
      <c r="P68" s="45" t="e">
        <f t="shared" si="12"/>
        <v>#VALUE!</v>
      </c>
      <c r="Q68" s="45" t="e">
        <f t="shared" si="25"/>
        <v>#VALUE!</v>
      </c>
      <c r="R68" s="45" t="e">
        <f t="shared" si="13"/>
        <v>#VALUE!</v>
      </c>
      <c r="S68" s="45" t="e">
        <f t="shared" si="26"/>
        <v>#VALUE!</v>
      </c>
      <c r="T68" s="53">
        <v>41.136960656414203</v>
      </c>
      <c r="U68" s="45" t="e">
        <f t="shared" si="14"/>
        <v>#VALUE!</v>
      </c>
      <c r="V68" s="45" t="e">
        <f t="shared" si="15"/>
        <v>#VALUE!</v>
      </c>
      <c r="W68" s="45" t="e">
        <f t="shared" si="16"/>
        <v>#VALUE!</v>
      </c>
      <c r="X68" s="45" t="e">
        <f t="shared" si="2"/>
        <v>#VALUE!</v>
      </c>
      <c r="Y68" s="47" t="e">
        <f t="shared" si="28"/>
        <v>#VALUE!</v>
      </c>
      <c r="Z68" s="45">
        <f t="shared" si="3"/>
        <v>28.409631607587713</v>
      </c>
      <c r="AA68" s="49" t="e">
        <f t="shared" si="4"/>
        <v>#VALUE!</v>
      </c>
      <c r="AB68" s="45" t="e">
        <f t="shared" si="5"/>
        <v>#VALUE!</v>
      </c>
      <c r="AC68" s="48" t="e">
        <f t="shared" si="6"/>
        <v>#VALUE!</v>
      </c>
      <c r="AD68" s="48">
        <f t="shared" si="27"/>
        <v>4.1090909090909085</v>
      </c>
      <c r="AE68" s="48" t="e">
        <f t="shared" si="7"/>
        <v>#VALUE!</v>
      </c>
      <c r="AF68" s="48" t="e">
        <f t="shared" si="29"/>
        <v>#VALUE!</v>
      </c>
    </row>
    <row r="69" spans="1:32" x14ac:dyDescent="0.35">
      <c r="A69" s="40">
        <f t="shared" si="17"/>
        <v>-31</v>
      </c>
      <c r="B69" s="41">
        <f t="shared" si="9"/>
        <v>253.70909090909075</v>
      </c>
      <c r="C69" s="41" t="e">
        <f t="shared" si="10"/>
        <v>#VALUE!</v>
      </c>
      <c r="D69" s="41" t="e">
        <f t="shared" si="0"/>
        <v>#VALUE!</v>
      </c>
      <c r="E69" s="41" t="e">
        <f t="shared" si="18"/>
        <v>#VALUE!</v>
      </c>
      <c r="F69" s="43">
        <f t="shared" si="19"/>
        <v>0.6</v>
      </c>
      <c r="G69" s="43">
        <v>44.25</v>
      </c>
      <c r="H69" s="41" t="e">
        <f t="shared" si="20"/>
        <v>#VALUE!</v>
      </c>
      <c r="I69" s="51">
        <f t="shared" si="21"/>
        <v>0.6</v>
      </c>
      <c r="J69" s="42">
        <f t="shared" si="22"/>
        <v>3899.6697967591881</v>
      </c>
      <c r="K69" s="42">
        <f t="shared" si="1"/>
        <v>3857.5328361027741</v>
      </c>
      <c r="L69" s="45" t="e">
        <f t="shared" si="23"/>
        <v>#VALUE!</v>
      </c>
      <c r="M69" s="45" t="e">
        <f t="shared" si="24"/>
        <v>#VALUE!</v>
      </c>
      <c r="N69" s="45" t="e">
        <f t="shared" si="11"/>
        <v>#VALUE!</v>
      </c>
      <c r="O69" s="45" t="e">
        <f t="shared" si="12"/>
        <v>#VALUE!</v>
      </c>
      <c r="P69" s="45" t="e">
        <f t="shared" si="12"/>
        <v>#VALUE!</v>
      </c>
      <c r="Q69" s="45" t="e">
        <f t="shared" si="25"/>
        <v>#VALUE!</v>
      </c>
      <c r="R69" s="45" t="e">
        <f t="shared" si="13"/>
        <v>#VALUE!</v>
      </c>
      <c r="S69" s="45" t="e">
        <f t="shared" si="26"/>
        <v>#VALUE!</v>
      </c>
      <c r="T69" s="53">
        <v>42.136960656414203</v>
      </c>
      <c r="U69" s="45" t="e">
        <f t="shared" si="14"/>
        <v>#VALUE!</v>
      </c>
      <c r="V69" s="45" t="e">
        <f t="shared" si="15"/>
        <v>#VALUE!</v>
      </c>
      <c r="W69" s="45" t="e">
        <f t="shared" si="16"/>
        <v>#VALUE!</v>
      </c>
      <c r="X69" s="45" t="e">
        <f t="shared" si="2"/>
        <v>#VALUE!</v>
      </c>
      <c r="Y69" s="47" t="e">
        <f t="shared" si="28"/>
        <v>#VALUE!</v>
      </c>
      <c r="Z69" s="45">
        <f t="shared" si="3"/>
        <v>28.752863650058348</v>
      </c>
      <c r="AA69" s="49" t="e">
        <f t="shared" si="4"/>
        <v>#VALUE!</v>
      </c>
      <c r="AB69" s="45" t="e">
        <f t="shared" si="5"/>
        <v>#VALUE!</v>
      </c>
      <c r="AC69" s="48" t="e">
        <f t="shared" si="6"/>
        <v>#VALUE!</v>
      </c>
      <c r="AD69" s="48">
        <f t="shared" si="27"/>
        <v>4.1090909090909085</v>
      </c>
      <c r="AE69" s="48" t="e">
        <f t="shared" si="7"/>
        <v>#VALUE!</v>
      </c>
      <c r="AF69" s="48" t="e">
        <f t="shared" si="29"/>
        <v>#VALUE!</v>
      </c>
    </row>
    <row r="70" spans="1:32" x14ac:dyDescent="0.35">
      <c r="A70" s="40">
        <f t="shared" si="17"/>
        <v>-32</v>
      </c>
      <c r="B70" s="41">
        <f t="shared" si="9"/>
        <v>249.19999999999985</v>
      </c>
      <c r="C70" s="41" t="e">
        <f t="shared" si="10"/>
        <v>#VALUE!</v>
      </c>
      <c r="D70" s="41" t="e">
        <f t="shared" si="0"/>
        <v>#VALUE!</v>
      </c>
      <c r="E70" s="41" t="e">
        <f t="shared" si="18"/>
        <v>#VALUE!</v>
      </c>
      <c r="F70" s="43">
        <f t="shared" si="19"/>
        <v>0.6</v>
      </c>
      <c r="G70" s="43">
        <v>45.25</v>
      </c>
      <c r="H70" s="41" t="e">
        <f t="shared" si="20"/>
        <v>#VALUE!</v>
      </c>
      <c r="I70" s="51">
        <f t="shared" si="21"/>
        <v>0.6</v>
      </c>
      <c r="J70" s="42">
        <f t="shared" si="22"/>
        <v>3857.5328361027741</v>
      </c>
      <c r="K70" s="42">
        <f t="shared" si="1"/>
        <v>3814.3958754463602</v>
      </c>
      <c r="L70" s="45" t="e">
        <f t="shared" si="23"/>
        <v>#VALUE!</v>
      </c>
      <c r="M70" s="45" t="e">
        <f t="shared" si="24"/>
        <v>#VALUE!</v>
      </c>
      <c r="N70" s="45" t="e">
        <f t="shared" si="11"/>
        <v>#VALUE!</v>
      </c>
      <c r="O70" s="45" t="e">
        <f t="shared" si="12"/>
        <v>#VALUE!</v>
      </c>
      <c r="P70" s="45" t="e">
        <f t="shared" si="12"/>
        <v>#VALUE!</v>
      </c>
      <c r="Q70" s="45" t="e">
        <f t="shared" si="25"/>
        <v>#VALUE!</v>
      </c>
      <c r="R70" s="45" t="e">
        <f t="shared" si="13"/>
        <v>#VALUE!</v>
      </c>
      <c r="S70" s="45" t="e">
        <f t="shared" si="26"/>
        <v>#VALUE!</v>
      </c>
      <c r="T70" s="53">
        <v>43.136960656414203</v>
      </c>
      <c r="U70" s="45" t="e">
        <f t="shared" si="14"/>
        <v>#VALUE!</v>
      </c>
      <c r="V70" s="45" t="e">
        <f t="shared" si="15"/>
        <v>#VALUE!</v>
      </c>
      <c r="W70" s="45" t="e">
        <f t="shared" si="16"/>
        <v>#VALUE!</v>
      </c>
      <c r="X70" s="45" t="e">
        <f t="shared" si="2"/>
        <v>#VALUE!</v>
      </c>
      <c r="Y70" s="47" t="e">
        <f t="shared" si="28"/>
        <v>#VALUE!</v>
      </c>
      <c r="Z70" s="45">
        <f t="shared" si="3"/>
        <v>29.092046474575259</v>
      </c>
      <c r="AA70" s="49" t="e">
        <f t="shared" si="4"/>
        <v>#VALUE!</v>
      </c>
      <c r="AB70" s="45" t="e">
        <f t="shared" si="5"/>
        <v>#VALUE!</v>
      </c>
      <c r="AC70" s="48" t="e">
        <f t="shared" si="6"/>
        <v>#VALUE!</v>
      </c>
      <c r="AD70" s="48">
        <f t="shared" si="27"/>
        <v>4.1090909090909085</v>
      </c>
      <c r="AE70" s="48" t="e">
        <f t="shared" si="7"/>
        <v>#VALUE!</v>
      </c>
      <c r="AF70" s="48" t="e">
        <f t="shared" si="29"/>
        <v>#VALUE!</v>
      </c>
    </row>
    <row r="71" spans="1:32" x14ac:dyDescent="0.35">
      <c r="A71" s="40">
        <f t="shared" si="17"/>
        <v>-33</v>
      </c>
      <c r="B71" s="41">
        <f t="shared" si="9"/>
        <v>244.69090909090895</v>
      </c>
      <c r="C71" s="41" t="e">
        <f t="shared" si="10"/>
        <v>#VALUE!</v>
      </c>
      <c r="D71" s="41" t="e">
        <f t="shared" si="0"/>
        <v>#VALUE!</v>
      </c>
      <c r="E71" s="41" t="e">
        <f t="shared" si="18"/>
        <v>#VALUE!</v>
      </c>
      <c r="F71" s="43">
        <f t="shared" si="19"/>
        <v>0.6</v>
      </c>
      <c r="G71" s="43">
        <v>46.25</v>
      </c>
      <c r="H71" s="41" t="e">
        <f t="shared" si="20"/>
        <v>#VALUE!</v>
      </c>
      <c r="I71" s="51">
        <f t="shared" si="21"/>
        <v>0.6</v>
      </c>
      <c r="J71" s="42">
        <f t="shared" si="22"/>
        <v>3814.3958754463602</v>
      </c>
      <c r="K71" s="42">
        <f t="shared" si="1"/>
        <v>3770.2589147899462</v>
      </c>
      <c r="L71" s="45" t="e">
        <f t="shared" si="23"/>
        <v>#VALUE!</v>
      </c>
      <c r="M71" s="45" t="e">
        <f t="shared" si="24"/>
        <v>#VALUE!</v>
      </c>
      <c r="N71" s="45" t="e">
        <f t="shared" si="11"/>
        <v>#VALUE!</v>
      </c>
      <c r="O71" s="45" t="e">
        <f t="shared" si="12"/>
        <v>#VALUE!</v>
      </c>
      <c r="P71" s="45" t="e">
        <f t="shared" si="12"/>
        <v>#VALUE!</v>
      </c>
      <c r="Q71" s="45" t="e">
        <f t="shared" si="25"/>
        <v>#VALUE!</v>
      </c>
      <c r="R71" s="45" t="e">
        <f t="shared" si="13"/>
        <v>#VALUE!</v>
      </c>
      <c r="S71" s="45" t="e">
        <f t="shared" si="26"/>
        <v>#VALUE!</v>
      </c>
      <c r="T71" s="53">
        <v>44.136960656414203</v>
      </c>
      <c r="U71" s="45" t="e">
        <f t="shared" si="14"/>
        <v>#VALUE!</v>
      </c>
      <c r="V71" s="45" t="e">
        <f t="shared" si="15"/>
        <v>#VALUE!</v>
      </c>
      <c r="W71" s="45" t="e">
        <f t="shared" si="16"/>
        <v>#VALUE!</v>
      </c>
      <c r="X71" s="45" t="e">
        <f t="shared" si="2"/>
        <v>#VALUE!</v>
      </c>
      <c r="Y71" s="47" t="e">
        <f t="shared" si="28"/>
        <v>#VALUE!</v>
      </c>
      <c r="Z71" s="45">
        <f t="shared" si="3"/>
        <v>29.427320096788403</v>
      </c>
      <c r="AA71" s="49" t="e">
        <f t="shared" si="4"/>
        <v>#VALUE!</v>
      </c>
      <c r="AB71" s="45" t="e">
        <f t="shared" si="5"/>
        <v>#VALUE!</v>
      </c>
      <c r="AC71" s="48" t="e">
        <f t="shared" si="6"/>
        <v>#VALUE!</v>
      </c>
      <c r="AD71" s="48">
        <f t="shared" si="27"/>
        <v>4.1090909090909085</v>
      </c>
      <c r="AE71" s="48" t="e">
        <f t="shared" si="7"/>
        <v>#VALUE!</v>
      </c>
      <c r="AF71" s="48" t="e">
        <f t="shared" si="29"/>
        <v>#VALUE!</v>
      </c>
    </row>
    <row r="72" spans="1:32" x14ac:dyDescent="0.35">
      <c r="A72" s="40">
        <f t="shared" si="17"/>
        <v>-34</v>
      </c>
      <c r="B72" s="41">
        <f t="shared" si="9"/>
        <v>240.18181818181804</v>
      </c>
      <c r="C72" s="41" t="e">
        <f t="shared" si="10"/>
        <v>#VALUE!</v>
      </c>
      <c r="D72" s="41" t="e">
        <f t="shared" si="0"/>
        <v>#VALUE!</v>
      </c>
      <c r="E72" s="41" t="e">
        <f t="shared" si="18"/>
        <v>#VALUE!</v>
      </c>
      <c r="F72" s="43">
        <f t="shared" si="19"/>
        <v>0.6</v>
      </c>
      <c r="G72" s="43">
        <v>47.25</v>
      </c>
      <c r="H72" s="41" t="e">
        <f t="shared" si="20"/>
        <v>#VALUE!</v>
      </c>
      <c r="I72" s="51">
        <f t="shared" si="21"/>
        <v>0.6</v>
      </c>
      <c r="J72" s="42">
        <f t="shared" si="22"/>
        <v>3770.2589147899462</v>
      </c>
      <c r="K72" s="42">
        <f t="shared" si="1"/>
        <v>3725.1219541335322</v>
      </c>
      <c r="L72" s="45" t="e">
        <f t="shared" si="23"/>
        <v>#VALUE!</v>
      </c>
      <c r="M72" s="45" t="e">
        <f t="shared" si="24"/>
        <v>#VALUE!</v>
      </c>
      <c r="N72" s="45" t="e">
        <f t="shared" si="11"/>
        <v>#VALUE!</v>
      </c>
      <c r="O72" s="45" t="e">
        <f t="shared" si="12"/>
        <v>#VALUE!</v>
      </c>
      <c r="P72" s="45" t="e">
        <f t="shared" si="12"/>
        <v>#VALUE!</v>
      </c>
      <c r="Q72" s="45" t="e">
        <f t="shared" si="25"/>
        <v>#VALUE!</v>
      </c>
      <c r="R72" s="45" t="e">
        <f t="shared" si="13"/>
        <v>#VALUE!</v>
      </c>
      <c r="S72" s="45" t="e">
        <f t="shared" si="26"/>
        <v>#VALUE!</v>
      </c>
      <c r="T72" s="53">
        <v>45.136960656414203</v>
      </c>
      <c r="U72" s="45" t="e">
        <f t="shared" si="14"/>
        <v>#VALUE!</v>
      </c>
      <c r="V72" s="45" t="e">
        <f t="shared" si="15"/>
        <v>#VALUE!</v>
      </c>
      <c r="W72" s="45" t="e">
        <f t="shared" si="16"/>
        <v>#VALUE!</v>
      </c>
      <c r="X72" s="45" t="e">
        <f t="shared" si="2"/>
        <v>#VALUE!</v>
      </c>
      <c r="Y72" s="47" t="e">
        <f t="shared" si="28"/>
        <v>#VALUE!</v>
      </c>
      <c r="Z72" s="45">
        <f t="shared" si="3"/>
        <v>29.758816644464321</v>
      </c>
      <c r="AA72" s="49" t="e">
        <f t="shared" si="4"/>
        <v>#VALUE!</v>
      </c>
      <c r="AB72" s="45" t="e">
        <f t="shared" si="5"/>
        <v>#VALUE!</v>
      </c>
      <c r="AC72" s="48" t="e">
        <f t="shared" si="6"/>
        <v>#VALUE!</v>
      </c>
      <c r="AD72" s="48">
        <f t="shared" si="27"/>
        <v>4.1090909090909085</v>
      </c>
      <c r="AE72" s="48" t="e">
        <f t="shared" si="7"/>
        <v>#VALUE!</v>
      </c>
      <c r="AF72" s="48" t="e">
        <f t="shared" si="29"/>
        <v>#VALUE!</v>
      </c>
    </row>
    <row r="73" spans="1:32" x14ac:dyDescent="0.35">
      <c r="A73" s="40">
        <f t="shared" si="17"/>
        <v>-35</v>
      </c>
      <c r="B73" s="41">
        <f t="shared" si="9"/>
        <v>235.67272727272714</v>
      </c>
      <c r="C73" s="41" t="e">
        <f t="shared" si="10"/>
        <v>#VALUE!</v>
      </c>
      <c r="D73" s="41" t="e">
        <f t="shared" si="0"/>
        <v>#VALUE!</v>
      </c>
      <c r="E73" s="41" t="e">
        <f t="shared" si="18"/>
        <v>#VALUE!</v>
      </c>
      <c r="F73" s="43">
        <f t="shared" si="19"/>
        <v>0.6</v>
      </c>
      <c r="G73" s="43">
        <v>48.25</v>
      </c>
      <c r="H73" s="41" t="e">
        <f t="shared" si="20"/>
        <v>#VALUE!</v>
      </c>
      <c r="I73" s="51">
        <f t="shared" si="21"/>
        <v>0.6</v>
      </c>
      <c r="J73" s="42">
        <f t="shared" si="22"/>
        <v>3725.1219541335322</v>
      </c>
      <c r="K73" s="42">
        <f t="shared" si="1"/>
        <v>3678.9849934771182</v>
      </c>
      <c r="L73" s="45" t="e">
        <f t="shared" si="23"/>
        <v>#VALUE!</v>
      </c>
      <c r="M73" s="45" t="e">
        <f t="shared" si="24"/>
        <v>#VALUE!</v>
      </c>
      <c r="N73" s="45" t="e">
        <f t="shared" si="11"/>
        <v>#VALUE!</v>
      </c>
      <c r="O73" s="45" t="e">
        <f t="shared" si="12"/>
        <v>#VALUE!</v>
      </c>
      <c r="P73" s="45" t="e">
        <f t="shared" si="12"/>
        <v>#VALUE!</v>
      </c>
      <c r="Q73" s="45" t="e">
        <f t="shared" si="25"/>
        <v>#VALUE!</v>
      </c>
      <c r="R73" s="45" t="e">
        <f t="shared" si="13"/>
        <v>#VALUE!</v>
      </c>
      <c r="S73" s="45" t="e">
        <f t="shared" si="26"/>
        <v>#VALUE!</v>
      </c>
      <c r="T73" s="53">
        <v>46.136960656414203</v>
      </c>
      <c r="U73" s="45" t="e">
        <f t="shared" si="14"/>
        <v>#VALUE!</v>
      </c>
      <c r="V73" s="45" t="e">
        <f t="shared" si="15"/>
        <v>#VALUE!</v>
      </c>
      <c r="W73" s="45" t="e">
        <f t="shared" si="16"/>
        <v>#VALUE!</v>
      </c>
      <c r="X73" s="45" t="e">
        <f t="shared" si="2"/>
        <v>#VALUE!</v>
      </c>
      <c r="Y73" s="47" t="e">
        <f t="shared" si="28"/>
        <v>#VALUE!</v>
      </c>
      <c r="Z73" s="45">
        <f t="shared" si="3"/>
        <v>30.086660965930513</v>
      </c>
      <c r="AA73" s="49" t="e">
        <f t="shared" si="4"/>
        <v>#VALUE!</v>
      </c>
      <c r="AB73" s="45" t="e">
        <f t="shared" si="5"/>
        <v>#VALUE!</v>
      </c>
      <c r="AC73" s="48" t="e">
        <f t="shared" si="6"/>
        <v>#VALUE!</v>
      </c>
      <c r="AD73" s="48">
        <f t="shared" si="27"/>
        <v>4.1090909090909085</v>
      </c>
      <c r="AE73" s="48" t="e">
        <f t="shared" si="7"/>
        <v>#VALUE!</v>
      </c>
      <c r="AF73" s="48" t="e">
        <f t="shared" si="29"/>
        <v>#VALUE!</v>
      </c>
    </row>
    <row r="74" spans="1:32" x14ac:dyDescent="0.35">
      <c r="A74" s="40">
        <f t="shared" si="17"/>
        <v>-36</v>
      </c>
      <c r="B74" s="41">
        <f t="shared" si="9"/>
        <v>231.16363636363624</v>
      </c>
      <c r="C74" s="41" t="e">
        <f t="shared" si="10"/>
        <v>#VALUE!</v>
      </c>
      <c r="D74" s="41" t="e">
        <f t="shared" si="0"/>
        <v>#VALUE!</v>
      </c>
      <c r="E74" s="41" t="e">
        <f t="shared" si="18"/>
        <v>#VALUE!</v>
      </c>
      <c r="F74" s="43">
        <f t="shared" si="19"/>
        <v>0.6</v>
      </c>
      <c r="G74" s="43">
        <v>49.25</v>
      </c>
      <c r="H74" s="41" t="e">
        <f t="shared" si="20"/>
        <v>#VALUE!</v>
      </c>
      <c r="I74" s="51">
        <f t="shared" si="21"/>
        <v>0.6</v>
      </c>
      <c r="J74" s="42">
        <f t="shared" si="22"/>
        <v>3678.9849934771182</v>
      </c>
      <c r="K74" s="42">
        <f t="shared" si="1"/>
        <v>3631.8480328207042</v>
      </c>
      <c r="L74" s="45" t="e">
        <f t="shared" si="23"/>
        <v>#VALUE!</v>
      </c>
      <c r="M74" s="45" t="e">
        <f t="shared" si="24"/>
        <v>#VALUE!</v>
      </c>
      <c r="N74" s="45" t="e">
        <f t="shared" si="11"/>
        <v>#VALUE!</v>
      </c>
      <c r="O74" s="45" t="e">
        <f t="shared" si="12"/>
        <v>#VALUE!</v>
      </c>
      <c r="P74" s="45" t="e">
        <f t="shared" si="12"/>
        <v>#VALUE!</v>
      </c>
      <c r="Q74" s="45" t="e">
        <f t="shared" si="25"/>
        <v>#VALUE!</v>
      </c>
      <c r="R74" s="45" t="e">
        <f t="shared" si="13"/>
        <v>#VALUE!</v>
      </c>
      <c r="S74" s="45" t="e">
        <f t="shared" si="26"/>
        <v>#VALUE!</v>
      </c>
      <c r="T74" s="53">
        <v>47.136960656414203</v>
      </c>
      <c r="U74" s="45" t="e">
        <f t="shared" si="14"/>
        <v>#VALUE!</v>
      </c>
      <c r="V74" s="45" t="e">
        <f t="shared" si="15"/>
        <v>#VALUE!</v>
      </c>
      <c r="W74" s="45" t="e">
        <f t="shared" si="16"/>
        <v>#VALUE!</v>
      </c>
      <c r="X74" s="45" t="e">
        <f t="shared" si="2"/>
        <v>#VALUE!</v>
      </c>
      <c r="Y74" s="47" t="e">
        <f t="shared" si="28"/>
        <v>#VALUE!</v>
      </c>
      <c r="Z74" s="45">
        <f t="shared" si="3"/>
        <v>30.410971179474796</v>
      </c>
      <c r="AA74" s="49" t="e">
        <f t="shared" si="4"/>
        <v>#VALUE!</v>
      </c>
      <c r="AB74" s="45" t="e">
        <f t="shared" si="5"/>
        <v>#VALUE!</v>
      </c>
      <c r="AC74" s="48" t="e">
        <f t="shared" si="6"/>
        <v>#VALUE!</v>
      </c>
      <c r="AD74" s="48">
        <f t="shared" si="27"/>
        <v>4.1090909090909085</v>
      </c>
      <c r="AE74" s="48" t="e">
        <f t="shared" si="7"/>
        <v>#VALUE!</v>
      </c>
      <c r="AF74" s="48" t="e">
        <f t="shared" si="29"/>
        <v>#VALUE!</v>
      </c>
    </row>
    <row r="75" spans="1:32" x14ac:dyDescent="0.35">
      <c r="A75" s="40">
        <f t="shared" si="17"/>
        <v>-37</v>
      </c>
      <c r="B75" s="41">
        <f t="shared" si="9"/>
        <v>226.65454545454534</v>
      </c>
      <c r="C75" s="41" t="e">
        <f t="shared" si="10"/>
        <v>#VALUE!</v>
      </c>
      <c r="D75" s="41" t="e">
        <f t="shared" si="0"/>
        <v>#VALUE!</v>
      </c>
      <c r="E75" s="41" t="e">
        <f t="shared" si="18"/>
        <v>#VALUE!</v>
      </c>
      <c r="F75" s="43">
        <f t="shared" si="19"/>
        <v>0.6</v>
      </c>
      <c r="G75" s="43">
        <v>50.25</v>
      </c>
      <c r="H75" s="41" t="e">
        <f t="shared" si="20"/>
        <v>#VALUE!</v>
      </c>
      <c r="I75" s="51">
        <f t="shared" si="21"/>
        <v>0.6</v>
      </c>
      <c r="J75" s="42">
        <f t="shared" si="22"/>
        <v>3631.8480328207042</v>
      </c>
      <c r="K75" s="42">
        <f t="shared" si="1"/>
        <v>3583.7110721642903</v>
      </c>
      <c r="L75" s="45" t="e">
        <f t="shared" si="23"/>
        <v>#VALUE!</v>
      </c>
      <c r="M75" s="45" t="e">
        <f t="shared" si="24"/>
        <v>#VALUE!</v>
      </c>
      <c r="N75" s="45" t="e">
        <f t="shared" si="11"/>
        <v>#VALUE!</v>
      </c>
      <c r="O75" s="45" t="e">
        <f t="shared" si="12"/>
        <v>#VALUE!</v>
      </c>
      <c r="P75" s="45" t="e">
        <f t="shared" si="12"/>
        <v>#VALUE!</v>
      </c>
      <c r="Q75" s="45" t="e">
        <f t="shared" si="25"/>
        <v>#VALUE!</v>
      </c>
      <c r="R75" s="45" t="e">
        <f t="shared" si="13"/>
        <v>#VALUE!</v>
      </c>
      <c r="S75" s="45" t="e">
        <f t="shared" si="26"/>
        <v>#VALUE!</v>
      </c>
      <c r="T75" s="53">
        <v>48.136960656414203</v>
      </c>
      <c r="U75" s="45" t="e">
        <f t="shared" si="14"/>
        <v>#VALUE!</v>
      </c>
      <c r="V75" s="45" t="e">
        <f t="shared" si="15"/>
        <v>#VALUE!</v>
      </c>
      <c r="W75" s="45" t="e">
        <f t="shared" si="16"/>
        <v>#VALUE!</v>
      </c>
      <c r="X75" s="45" t="e">
        <f t="shared" si="2"/>
        <v>#VALUE!</v>
      </c>
      <c r="Y75" s="47" t="e">
        <f t="shared" si="28"/>
        <v>#VALUE!</v>
      </c>
      <c r="Z75" s="45">
        <f t="shared" si="3"/>
        <v>30.731859170555346</v>
      </c>
      <c r="AA75" s="49" t="e">
        <f t="shared" si="4"/>
        <v>#VALUE!</v>
      </c>
      <c r="AB75" s="45" t="e">
        <f t="shared" si="5"/>
        <v>#VALUE!</v>
      </c>
      <c r="AC75" s="48" t="e">
        <f t="shared" si="6"/>
        <v>#VALUE!</v>
      </c>
      <c r="AD75" s="48">
        <f t="shared" si="27"/>
        <v>4.1090909090909085</v>
      </c>
      <c r="AE75" s="48" t="e">
        <f t="shared" si="7"/>
        <v>#VALUE!</v>
      </c>
      <c r="AF75" s="48" t="e">
        <f t="shared" si="29"/>
        <v>#VALUE!</v>
      </c>
    </row>
    <row r="76" spans="1:32" x14ac:dyDescent="0.35">
      <c r="A76" s="40">
        <f t="shared" si="17"/>
        <v>-38</v>
      </c>
      <c r="B76" s="41">
        <f t="shared" si="9"/>
        <v>222.14545454545444</v>
      </c>
      <c r="C76" s="41" t="e">
        <f t="shared" si="10"/>
        <v>#VALUE!</v>
      </c>
      <c r="D76" s="41" t="e">
        <f t="shared" si="0"/>
        <v>#VALUE!</v>
      </c>
      <c r="E76" s="41" t="e">
        <f t="shared" si="18"/>
        <v>#VALUE!</v>
      </c>
      <c r="F76" s="43">
        <f t="shared" si="19"/>
        <v>0.6</v>
      </c>
      <c r="G76" s="43">
        <v>51.25</v>
      </c>
      <c r="H76" s="41" t="e">
        <f t="shared" si="20"/>
        <v>#VALUE!</v>
      </c>
      <c r="I76" s="51">
        <f t="shared" si="21"/>
        <v>0.6</v>
      </c>
      <c r="J76" s="42">
        <f t="shared" si="22"/>
        <v>3583.7110721642903</v>
      </c>
      <c r="K76" s="42">
        <f t="shared" si="1"/>
        <v>3534.5741115078763</v>
      </c>
      <c r="L76" s="45" t="e">
        <f t="shared" si="23"/>
        <v>#VALUE!</v>
      </c>
      <c r="M76" s="45" t="e">
        <f t="shared" si="24"/>
        <v>#VALUE!</v>
      </c>
      <c r="N76" s="45" t="e">
        <f t="shared" si="11"/>
        <v>#VALUE!</v>
      </c>
      <c r="O76" s="45" t="e">
        <f t="shared" si="12"/>
        <v>#VALUE!</v>
      </c>
      <c r="P76" s="45" t="e">
        <f t="shared" si="12"/>
        <v>#VALUE!</v>
      </c>
      <c r="Q76" s="45" t="e">
        <f t="shared" si="25"/>
        <v>#VALUE!</v>
      </c>
      <c r="R76" s="45" t="e">
        <f t="shared" si="13"/>
        <v>#VALUE!</v>
      </c>
      <c r="S76" s="45" t="e">
        <f t="shared" si="26"/>
        <v>#VALUE!</v>
      </c>
      <c r="T76" s="53">
        <v>49.136960656414203</v>
      </c>
      <c r="U76" s="45" t="e">
        <f t="shared" si="14"/>
        <v>#VALUE!</v>
      </c>
      <c r="V76" s="45" t="e">
        <f t="shared" si="15"/>
        <v>#VALUE!</v>
      </c>
      <c r="W76" s="45" t="e">
        <f t="shared" si="16"/>
        <v>#VALUE!</v>
      </c>
      <c r="X76" s="45" t="e">
        <f t="shared" si="2"/>
        <v>#VALUE!</v>
      </c>
      <c r="Y76" s="47" t="e">
        <f t="shared" si="28"/>
        <v>#VALUE!</v>
      </c>
      <c r="Z76" s="45">
        <f t="shared" si="3"/>
        <v>31.049431042755788</v>
      </c>
      <c r="AA76" s="49" t="e">
        <f t="shared" si="4"/>
        <v>#VALUE!</v>
      </c>
      <c r="AB76" s="45" t="e">
        <f t="shared" si="5"/>
        <v>#VALUE!</v>
      </c>
      <c r="AC76" s="48" t="e">
        <f t="shared" si="6"/>
        <v>#VALUE!</v>
      </c>
      <c r="AD76" s="48">
        <f t="shared" si="27"/>
        <v>4.1090909090909085</v>
      </c>
      <c r="AE76" s="48" t="e">
        <f t="shared" si="7"/>
        <v>#VALUE!</v>
      </c>
      <c r="AF76" s="48" t="e">
        <f t="shared" si="29"/>
        <v>#VALUE!</v>
      </c>
    </row>
    <row r="77" spans="1:32" x14ac:dyDescent="0.35">
      <c r="A77" s="40">
        <f t="shared" si="17"/>
        <v>-39</v>
      </c>
      <c r="B77" s="41">
        <f t="shared" si="9"/>
        <v>217.63636363636354</v>
      </c>
      <c r="C77" s="41" t="e">
        <f t="shared" si="10"/>
        <v>#VALUE!</v>
      </c>
      <c r="D77" s="41" t="e">
        <f t="shared" si="0"/>
        <v>#VALUE!</v>
      </c>
      <c r="E77" s="41" t="e">
        <f t="shared" si="18"/>
        <v>#VALUE!</v>
      </c>
      <c r="F77" s="43">
        <f t="shared" si="19"/>
        <v>0.6</v>
      </c>
      <c r="G77" s="43">
        <v>52.25</v>
      </c>
      <c r="H77" s="41" t="e">
        <f t="shared" si="20"/>
        <v>#VALUE!</v>
      </c>
      <c r="I77" s="51">
        <f t="shared" si="21"/>
        <v>0.6</v>
      </c>
      <c r="J77" s="42">
        <f t="shared" si="22"/>
        <v>3534.5741115078763</v>
      </c>
      <c r="K77" s="42">
        <f t="shared" si="1"/>
        <v>3484.4371508514623</v>
      </c>
      <c r="L77" s="45" t="e">
        <f t="shared" si="23"/>
        <v>#VALUE!</v>
      </c>
      <c r="M77" s="45" t="e">
        <f t="shared" si="24"/>
        <v>#VALUE!</v>
      </c>
      <c r="N77" s="45" t="e">
        <f t="shared" si="11"/>
        <v>#VALUE!</v>
      </c>
      <c r="O77" s="45" t="e">
        <f t="shared" si="12"/>
        <v>#VALUE!</v>
      </c>
      <c r="P77" s="45" t="e">
        <f t="shared" si="12"/>
        <v>#VALUE!</v>
      </c>
      <c r="Q77" s="45" t="e">
        <f t="shared" si="25"/>
        <v>#VALUE!</v>
      </c>
      <c r="R77" s="45" t="e">
        <f t="shared" si="13"/>
        <v>#VALUE!</v>
      </c>
      <c r="S77" s="45" t="e">
        <f t="shared" si="26"/>
        <v>#VALUE!</v>
      </c>
      <c r="T77" s="53">
        <v>50.136960656414203</v>
      </c>
      <c r="U77" s="45" t="e">
        <f t="shared" si="14"/>
        <v>#VALUE!</v>
      </c>
      <c r="V77" s="45" t="e">
        <f t="shared" si="15"/>
        <v>#VALUE!</v>
      </c>
      <c r="W77" s="45" t="e">
        <f t="shared" si="16"/>
        <v>#VALUE!</v>
      </c>
      <c r="X77" s="45" t="e">
        <f t="shared" si="2"/>
        <v>#VALUE!</v>
      </c>
      <c r="Y77" s="47" t="e">
        <f t="shared" si="28"/>
        <v>#VALUE!</v>
      </c>
      <c r="Z77" s="45">
        <f t="shared" si="3"/>
        <v>31.363787527638411</v>
      </c>
      <c r="AA77" s="49" t="e">
        <f t="shared" si="4"/>
        <v>#VALUE!</v>
      </c>
      <c r="AB77" s="45" t="e">
        <f t="shared" si="5"/>
        <v>#VALUE!</v>
      </c>
      <c r="AC77" s="48" t="e">
        <f t="shared" si="6"/>
        <v>#VALUE!</v>
      </c>
      <c r="AD77" s="48">
        <f t="shared" si="27"/>
        <v>4.1090909090909085</v>
      </c>
      <c r="AE77" s="48" t="e">
        <f t="shared" si="7"/>
        <v>#VALUE!</v>
      </c>
      <c r="AF77" s="48" t="e">
        <f t="shared" si="29"/>
        <v>#VALUE!</v>
      </c>
    </row>
    <row r="78" spans="1:32" x14ac:dyDescent="0.35">
      <c r="A78" s="40">
        <f t="shared" si="17"/>
        <v>-40</v>
      </c>
      <c r="B78" s="41">
        <f t="shared" si="9"/>
        <v>213.12727272727264</v>
      </c>
      <c r="C78" s="41" t="e">
        <f t="shared" si="10"/>
        <v>#VALUE!</v>
      </c>
      <c r="D78" s="41" t="e">
        <f t="shared" si="0"/>
        <v>#VALUE!</v>
      </c>
      <c r="E78" s="41" t="e">
        <f t="shared" si="18"/>
        <v>#VALUE!</v>
      </c>
      <c r="F78" s="43">
        <f t="shared" si="19"/>
        <v>0.6</v>
      </c>
      <c r="G78" s="43">
        <v>53.25</v>
      </c>
      <c r="H78" s="41" t="e">
        <f t="shared" si="20"/>
        <v>#VALUE!</v>
      </c>
      <c r="I78" s="51">
        <f t="shared" si="21"/>
        <v>0.6</v>
      </c>
      <c r="J78" s="42">
        <f t="shared" si="22"/>
        <v>3484.4371508514623</v>
      </c>
      <c r="K78" s="42">
        <f t="shared" si="1"/>
        <v>3433.3001901950483</v>
      </c>
      <c r="L78" s="45" t="e">
        <f t="shared" si="23"/>
        <v>#VALUE!</v>
      </c>
      <c r="M78" s="45" t="e">
        <f t="shared" si="24"/>
        <v>#VALUE!</v>
      </c>
      <c r="N78" s="45" t="e">
        <f t="shared" si="11"/>
        <v>#VALUE!</v>
      </c>
      <c r="O78" s="45" t="e">
        <f t="shared" si="12"/>
        <v>#VALUE!</v>
      </c>
      <c r="P78" s="45" t="e">
        <f t="shared" si="12"/>
        <v>#VALUE!</v>
      </c>
      <c r="Q78" s="45" t="e">
        <f t="shared" si="25"/>
        <v>#VALUE!</v>
      </c>
      <c r="R78" s="45" t="e">
        <f t="shared" si="13"/>
        <v>#VALUE!</v>
      </c>
      <c r="S78" s="45" t="e">
        <f t="shared" si="26"/>
        <v>#VALUE!</v>
      </c>
      <c r="T78" s="53">
        <v>51.136960656414203</v>
      </c>
      <c r="U78" s="45" t="e">
        <f t="shared" si="14"/>
        <v>#VALUE!</v>
      </c>
      <c r="V78" s="45" t="e">
        <f t="shared" si="15"/>
        <v>#VALUE!</v>
      </c>
      <c r="W78" s="45" t="e">
        <f t="shared" si="16"/>
        <v>#VALUE!</v>
      </c>
      <c r="X78" s="45" t="e">
        <f t="shared" si="2"/>
        <v>#VALUE!</v>
      </c>
      <c r="Y78" s="47" t="e">
        <f t="shared" si="28"/>
        <v>#VALUE!</v>
      </c>
      <c r="Z78" s="45">
        <f t="shared" si="3"/>
        <v>31.675024357983478</v>
      </c>
      <c r="AA78" s="49" t="e">
        <f t="shared" si="4"/>
        <v>#VALUE!</v>
      </c>
      <c r="AB78" s="45" t="e">
        <f t="shared" si="5"/>
        <v>#VALUE!</v>
      </c>
      <c r="AC78" s="48" t="e">
        <f t="shared" si="6"/>
        <v>#VALUE!</v>
      </c>
      <c r="AD78" s="48">
        <f t="shared" si="27"/>
        <v>4.1090909090909085</v>
      </c>
      <c r="AE78" s="48" t="e">
        <f t="shared" si="7"/>
        <v>#VALUE!</v>
      </c>
      <c r="AF78" s="48" t="e">
        <f t="shared" si="29"/>
        <v>#VALUE!</v>
      </c>
    </row>
    <row r="79" spans="1:32" x14ac:dyDescent="0.35">
      <c r="A79" s="40">
        <f t="shared" si="17"/>
        <v>-41</v>
      </c>
      <c r="B79" s="41">
        <f t="shared" si="9"/>
        <v>208.61818181818174</v>
      </c>
      <c r="C79" s="41" t="e">
        <f t="shared" si="10"/>
        <v>#VALUE!</v>
      </c>
      <c r="D79" s="41" t="e">
        <f t="shared" si="0"/>
        <v>#VALUE!</v>
      </c>
      <c r="E79" s="41" t="e">
        <f t="shared" si="18"/>
        <v>#VALUE!</v>
      </c>
      <c r="F79" s="43">
        <f t="shared" si="19"/>
        <v>0.6</v>
      </c>
      <c r="G79" s="43">
        <v>54.25</v>
      </c>
      <c r="H79" s="41" t="e">
        <f t="shared" si="20"/>
        <v>#VALUE!</v>
      </c>
      <c r="I79" s="51">
        <f t="shared" si="21"/>
        <v>0.6</v>
      </c>
      <c r="J79" s="42">
        <f t="shared" si="22"/>
        <v>3433.3001901950483</v>
      </c>
      <c r="K79" s="42">
        <f t="shared" si="1"/>
        <v>3381.1632295386344</v>
      </c>
      <c r="L79" s="45" t="e">
        <f t="shared" si="23"/>
        <v>#VALUE!</v>
      </c>
      <c r="M79" s="45" t="e">
        <f t="shared" si="24"/>
        <v>#VALUE!</v>
      </c>
      <c r="N79" s="45" t="e">
        <f t="shared" si="11"/>
        <v>#VALUE!</v>
      </c>
      <c r="O79" s="45" t="e">
        <f t="shared" si="12"/>
        <v>#VALUE!</v>
      </c>
      <c r="P79" s="45" t="e">
        <f t="shared" si="12"/>
        <v>#VALUE!</v>
      </c>
      <c r="Q79" s="45" t="e">
        <f t="shared" si="25"/>
        <v>#VALUE!</v>
      </c>
      <c r="R79" s="45" t="e">
        <f t="shared" si="13"/>
        <v>#VALUE!</v>
      </c>
      <c r="S79" s="45" t="e">
        <f t="shared" si="26"/>
        <v>#VALUE!</v>
      </c>
      <c r="T79" s="53">
        <v>52.136960656414203</v>
      </c>
      <c r="U79" s="45" t="e">
        <f t="shared" si="14"/>
        <v>#VALUE!</v>
      </c>
      <c r="V79" s="45" t="e">
        <f t="shared" si="15"/>
        <v>#VALUE!</v>
      </c>
      <c r="W79" s="45" t="e">
        <f t="shared" si="16"/>
        <v>#VALUE!</v>
      </c>
      <c r="X79" s="45" t="e">
        <f t="shared" si="2"/>
        <v>#VALUE!</v>
      </c>
      <c r="Y79" s="47" t="e">
        <f t="shared" si="28"/>
        <v>#VALUE!</v>
      </c>
      <c r="Z79" s="45">
        <f t="shared" si="3"/>
        <v>31.983232608334742</v>
      </c>
      <c r="AA79" s="49" t="e">
        <f t="shared" si="4"/>
        <v>#VALUE!</v>
      </c>
      <c r="AB79" s="45" t="e">
        <f t="shared" si="5"/>
        <v>#VALUE!</v>
      </c>
      <c r="AC79" s="48" t="e">
        <f t="shared" si="6"/>
        <v>#VALUE!</v>
      </c>
      <c r="AD79" s="48">
        <f t="shared" si="27"/>
        <v>4.1090909090909085</v>
      </c>
      <c r="AE79" s="48" t="e">
        <f t="shared" si="7"/>
        <v>#VALUE!</v>
      </c>
      <c r="AF79" s="48" t="e">
        <f t="shared" si="29"/>
        <v>#VALUE!</v>
      </c>
    </row>
    <row r="80" spans="1:32" x14ac:dyDescent="0.35">
      <c r="A80" s="40">
        <f t="shared" si="17"/>
        <v>-42</v>
      </c>
      <c r="B80" s="41">
        <f t="shared" si="9"/>
        <v>204.10909090909084</v>
      </c>
      <c r="C80" s="41" t="e">
        <f t="shared" si="10"/>
        <v>#VALUE!</v>
      </c>
      <c r="D80" s="41" t="e">
        <f t="shared" si="0"/>
        <v>#VALUE!</v>
      </c>
      <c r="E80" s="41" t="e">
        <f t="shared" si="18"/>
        <v>#VALUE!</v>
      </c>
      <c r="F80" s="43">
        <f t="shared" si="19"/>
        <v>0.6</v>
      </c>
      <c r="G80" s="43">
        <v>55.25</v>
      </c>
      <c r="H80" s="41" t="e">
        <f t="shared" si="20"/>
        <v>#VALUE!</v>
      </c>
      <c r="I80" s="51">
        <f t="shared" si="21"/>
        <v>0.6</v>
      </c>
      <c r="J80" s="42">
        <f t="shared" si="22"/>
        <v>3381.1632295386344</v>
      </c>
      <c r="K80" s="42">
        <f t="shared" si="1"/>
        <v>3328.0262688822204</v>
      </c>
      <c r="L80" s="45" t="e">
        <f t="shared" si="23"/>
        <v>#VALUE!</v>
      </c>
      <c r="M80" s="45" t="e">
        <f t="shared" si="24"/>
        <v>#VALUE!</v>
      </c>
      <c r="N80" s="45" t="e">
        <f t="shared" si="11"/>
        <v>#VALUE!</v>
      </c>
      <c r="O80" s="45" t="e">
        <f t="shared" si="12"/>
        <v>#VALUE!</v>
      </c>
      <c r="P80" s="45" t="e">
        <f t="shared" si="12"/>
        <v>#VALUE!</v>
      </c>
      <c r="Q80" s="45" t="e">
        <f t="shared" si="25"/>
        <v>#VALUE!</v>
      </c>
      <c r="R80" s="45" t="e">
        <f t="shared" si="13"/>
        <v>#VALUE!</v>
      </c>
      <c r="S80" s="45" t="e">
        <f t="shared" si="26"/>
        <v>#VALUE!</v>
      </c>
      <c r="T80" s="53">
        <v>53.136960656414203</v>
      </c>
      <c r="U80" s="45" t="e">
        <f t="shared" si="14"/>
        <v>#VALUE!</v>
      </c>
      <c r="V80" s="45" t="e">
        <f t="shared" si="15"/>
        <v>#VALUE!</v>
      </c>
      <c r="W80" s="45" t="e">
        <f t="shared" si="16"/>
        <v>#VALUE!</v>
      </c>
      <c r="X80" s="45" t="e">
        <f t="shared" si="2"/>
        <v>#VALUE!</v>
      </c>
      <c r="Y80" s="47" t="e">
        <f t="shared" si="28"/>
        <v>#VALUE!</v>
      </c>
      <c r="Z80" s="45">
        <f t="shared" si="3"/>
        <v>32.288499006284681</v>
      </c>
      <c r="AA80" s="49" t="e">
        <f t="shared" si="4"/>
        <v>#VALUE!</v>
      </c>
      <c r="AB80" s="45" t="e">
        <f t="shared" si="5"/>
        <v>#VALUE!</v>
      </c>
      <c r="AC80" s="48" t="e">
        <f t="shared" si="6"/>
        <v>#VALUE!</v>
      </c>
      <c r="AD80" s="48">
        <f t="shared" si="27"/>
        <v>4.1090909090909085</v>
      </c>
      <c r="AE80" s="48" t="e">
        <f t="shared" si="7"/>
        <v>#VALUE!</v>
      </c>
      <c r="AF80" s="48" t="e">
        <f t="shared" si="29"/>
        <v>#VALUE!</v>
      </c>
    </row>
    <row r="81" spans="1:32" x14ac:dyDescent="0.35">
      <c r="A81" s="40">
        <f t="shared" si="17"/>
        <v>-43</v>
      </c>
      <c r="B81" s="41">
        <f t="shared" si="9"/>
        <v>199.59999999999994</v>
      </c>
      <c r="C81" s="41" t="e">
        <f t="shared" si="10"/>
        <v>#VALUE!</v>
      </c>
      <c r="D81" s="41" t="e">
        <f t="shared" si="0"/>
        <v>#VALUE!</v>
      </c>
      <c r="E81" s="41" t="e">
        <f t="shared" si="18"/>
        <v>#VALUE!</v>
      </c>
      <c r="F81" s="43">
        <f t="shared" si="19"/>
        <v>0.6</v>
      </c>
      <c r="G81" s="43">
        <v>56.25</v>
      </c>
      <c r="H81" s="41" t="e">
        <f t="shared" si="20"/>
        <v>#VALUE!</v>
      </c>
      <c r="I81" s="51">
        <f t="shared" si="21"/>
        <v>0.6</v>
      </c>
      <c r="J81" s="42">
        <f t="shared" si="22"/>
        <v>3328.0262688822204</v>
      </c>
      <c r="K81" s="42">
        <f t="shared" si="1"/>
        <v>3273.8893082258064</v>
      </c>
      <c r="L81" s="45" t="e">
        <f t="shared" si="23"/>
        <v>#VALUE!</v>
      </c>
      <c r="M81" s="45" t="e">
        <f t="shared" si="24"/>
        <v>#VALUE!</v>
      </c>
      <c r="N81" s="45" t="e">
        <f t="shared" si="11"/>
        <v>#VALUE!</v>
      </c>
      <c r="O81" s="45" t="e">
        <f t="shared" si="12"/>
        <v>#VALUE!</v>
      </c>
      <c r="P81" s="45" t="e">
        <f t="shared" si="12"/>
        <v>#VALUE!</v>
      </c>
      <c r="Q81" s="45" t="e">
        <f t="shared" si="25"/>
        <v>#VALUE!</v>
      </c>
      <c r="R81" s="45" t="e">
        <f t="shared" si="13"/>
        <v>#VALUE!</v>
      </c>
      <c r="S81" s="45" t="e">
        <f t="shared" si="26"/>
        <v>#VALUE!</v>
      </c>
      <c r="T81" s="53">
        <v>54.136960656414203</v>
      </c>
      <c r="U81" s="45" t="e">
        <f t="shared" si="14"/>
        <v>#VALUE!</v>
      </c>
      <c r="V81" s="45" t="e">
        <f t="shared" si="15"/>
        <v>#VALUE!</v>
      </c>
      <c r="W81" s="45" t="e">
        <f t="shared" si="16"/>
        <v>#VALUE!</v>
      </c>
      <c r="X81" s="45" t="e">
        <f t="shared" si="2"/>
        <v>#VALUE!</v>
      </c>
      <c r="Y81" s="47" t="e">
        <f t="shared" si="28"/>
        <v>#VALUE!</v>
      </c>
      <c r="Z81" s="45">
        <f t="shared" si="3"/>
        <v>32.590906217514828</v>
      </c>
      <c r="AA81" s="49" t="e">
        <f t="shared" si="4"/>
        <v>#VALUE!</v>
      </c>
      <c r="AB81" s="45" t="e">
        <f t="shared" si="5"/>
        <v>#VALUE!</v>
      </c>
      <c r="AC81" s="48" t="e">
        <f t="shared" si="6"/>
        <v>#VALUE!</v>
      </c>
      <c r="AD81" s="48">
        <f t="shared" si="27"/>
        <v>4.1090909090909085</v>
      </c>
      <c r="AE81" s="48" t="e">
        <f t="shared" si="7"/>
        <v>#VALUE!</v>
      </c>
      <c r="AF81" s="48" t="e">
        <f t="shared" si="29"/>
        <v>#VALUE!</v>
      </c>
    </row>
    <row r="82" spans="1:32" x14ac:dyDescent="0.35">
      <c r="A82" s="40">
        <f t="shared" si="17"/>
        <v>-44</v>
      </c>
      <c r="B82" s="41">
        <f t="shared" si="9"/>
        <v>195.09090909090904</v>
      </c>
      <c r="C82" s="41" t="e">
        <f t="shared" si="10"/>
        <v>#VALUE!</v>
      </c>
      <c r="D82" s="41" t="e">
        <f t="shared" si="0"/>
        <v>#VALUE!</v>
      </c>
      <c r="E82" s="41" t="e">
        <f t="shared" si="18"/>
        <v>#VALUE!</v>
      </c>
      <c r="F82" s="43">
        <f t="shared" si="19"/>
        <v>0.6</v>
      </c>
      <c r="G82" s="43">
        <v>57.25</v>
      </c>
      <c r="H82" s="41" t="e">
        <f t="shared" si="20"/>
        <v>#VALUE!</v>
      </c>
      <c r="I82" s="51">
        <f t="shared" si="21"/>
        <v>0.6</v>
      </c>
      <c r="J82" s="42">
        <f t="shared" si="22"/>
        <v>3273.8893082258064</v>
      </c>
      <c r="K82" s="42">
        <f t="shared" si="1"/>
        <v>3218.7523475693924</v>
      </c>
      <c r="L82" s="45" t="e">
        <f t="shared" si="23"/>
        <v>#VALUE!</v>
      </c>
      <c r="M82" s="45" t="e">
        <f t="shared" si="24"/>
        <v>#VALUE!</v>
      </c>
      <c r="N82" s="45" t="e">
        <f t="shared" si="11"/>
        <v>#VALUE!</v>
      </c>
      <c r="O82" s="45" t="e">
        <f t="shared" si="12"/>
        <v>#VALUE!</v>
      </c>
      <c r="P82" s="45" t="e">
        <f t="shared" si="12"/>
        <v>#VALUE!</v>
      </c>
      <c r="Q82" s="45" t="e">
        <f t="shared" si="25"/>
        <v>#VALUE!</v>
      </c>
      <c r="R82" s="45" t="e">
        <f t="shared" si="13"/>
        <v>#VALUE!</v>
      </c>
      <c r="S82" s="45" t="e">
        <f t="shared" si="26"/>
        <v>#VALUE!</v>
      </c>
      <c r="T82" s="53">
        <v>55.136960656414203</v>
      </c>
      <c r="U82" s="45" t="e">
        <f t="shared" si="14"/>
        <v>#VALUE!</v>
      </c>
      <c r="V82" s="45" t="e">
        <f t="shared" si="15"/>
        <v>#VALUE!</v>
      </c>
      <c r="W82" s="45" t="e">
        <f t="shared" si="16"/>
        <v>#VALUE!</v>
      </c>
      <c r="X82" s="45" t="e">
        <f t="shared" si="2"/>
        <v>#VALUE!</v>
      </c>
      <c r="Y82" s="47" t="e">
        <f t="shared" si="28"/>
        <v>#VALUE!</v>
      </c>
      <c r="Z82" s="45">
        <f t="shared" si="3"/>
        <v>32.890533107246021</v>
      </c>
      <c r="AA82" s="49" t="e">
        <f t="shared" si="4"/>
        <v>#VALUE!</v>
      </c>
      <c r="AB82" s="45" t="e">
        <f t="shared" si="5"/>
        <v>#VALUE!</v>
      </c>
      <c r="AC82" s="48" t="e">
        <f t="shared" si="6"/>
        <v>#VALUE!</v>
      </c>
      <c r="AD82" s="48">
        <f t="shared" si="27"/>
        <v>4.1090909090909085</v>
      </c>
      <c r="AE82" s="48" t="e">
        <f t="shared" si="7"/>
        <v>#VALUE!</v>
      </c>
      <c r="AF82" s="48" t="e">
        <f t="shared" si="29"/>
        <v>#VALUE!</v>
      </c>
    </row>
    <row r="83" spans="1:32" x14ac:dyDescent="0.35">
      <c r="A83" s="40">
        <f t="shared" si="17"/>
        <v>-45</v>
      </c>
      <c r="B83" s="41">
        <f t="shared" si="9"/>
        <v>190.58181818181814</v>
      </c>
      <c r="C83" s="41" t="e">
        <f t="shared" si="10"/>
        <v>#VALUE!</v>
      </c>
      <c r="D83" s="41" t="e">
        <f t="shared" si="0"/>
        <v>#VALUE!</v>
      </c>
      <c r="E83" s="41" t="e">
        <f t="shared" si="18"/>
        <v>#VALUE!</v>
      </c>
      <c r="F83" s="43">
        <f t="shared" si="19"/>
        <v>0.6</v>
      </c>
      <c r="G83" s="43">
        <v>58.25</v>
      </c>
      <c r="H83" s="41" t="e">
        <f t="shared" si="20"/>
        <v>#VALUE!</v>
      </c>
      <c r="I83" s="51">
        <f t="shared" si="21"/>
        <v>0.6</v>
      </c>
      <c r="J83" s="42">
        <f t="shared" si="22"/>
        <v>3218.7523475693924</v>
      </c>
      <c r="K83" s="42">
        <f t="shared" si="1"/>
        <v>3162.6153869129785</v>
      </c>
      <c r="L83" s="45" t="e">
        <f t="shared" si="23"/>
        <v>#VALUE!</v>
      </c>
      <c r="M83" s="45" t="e">
        <f t="shared" si="24"/>
        <v>#VALUE!</v>
      </c>
      <c r="N83" s="45" t="e">
        <f t="shared" si="11"/>
        <v>#VALUE!</v>
      </c>
      <c r="O83" s="45" t="e">
        <f t="shared" si="12"/>
        <v>#VALUE!</v>
      </c>
      <c r="P83" s="45" t="e">
        <f t="shared" si="12"/>
        <v>#VALUE!</v>
      </c>
      <c r="Q83" s="45" t="e">
        <f t="shared" si="25"/>
        <v>#VALUE!</v>
      </c>
      <c r="R83" s="45" t="e">
        <f t="shared" si="13"/>
        <v>#VALUE!</v>
      </c>
      <c r="S83" s="45" t="e">
        <f t="shared" si="26"/>
        <v>#VALUE!</v>
      </c>
      <c r="T83" s="53">
        <v>56.136960656414203</v>
      </c>
      <c r="U83" s="45" t="e">
        <f t="shared" si="14"/>
        <v>#VALUE!</v>
      </c>
      <c r="V83" s="45" t="e">
        <f t="shared" si="15"/>
        <v>#VALUE!</v>
      </c>
      <c r="W83" s="45" t="e">
        <f t="shared" si="16"/>
        <v>#VALUE!</v>
      </c>
      <c r="X83" s="45" t="e">
        <f t="shared" si="2"/>
        <v>#VALUE!</v>
      </c>
      <c r="Y83" s="47" t="e">
        <f t="shared" si="28"/>
        <v>#VALUE!</v>
      </c>
      <c r="Z83" s="45">
        <f t="shared" si="3"/>
        <v>33.187454980441736</v>
      </c>
      <c r="AA83" s="49" t="e">
        <f t="shared" si="4"/>
        <v>#VALUE!</v>
      </c>
      <c r="AB83" s="45" t="e">
        <f t="shared" si="5"/>
        <v>#VALUE!</v>
      </c>
      <c r="AC83" s="48" t="e">
        <f t="shared" si="6"/>
        <v>#VALUE!</v>
      </c>
      <c r="AD83" s="48">
        <f t="shared" si="27"/>
        <v>4.1090909090909085</v>
      </c>
      <c r="AE83" s="48" t="e">
        <f t="shared" si="7"/>
        <v>#VALUE!</v>
      </c>
      <c r="AF83" s="48" t="e">
        <f t="shared" si="29"/>
        <v>#VALUE!</v>
      </c>
    </row>
    <row r="84" spans="1:32" x14ac:dyDescent="0.35">
      <c r="A84" s="40">
        <f t="shared" si="17"/>
        <v>-46</v>
      </c>
      <c r="B84" s="41">
        <f t="shared" si="9"/>
        <v>186.07272727272724</v>
      </c>
      <c r="C84" s="41" t="e">
        <f t="shared" si="10"/>
        <v>#VALUE!</v>
      </c>
      <c r="D84" s="41" t="e">
        <f t="shared" si="0"/>
        <v>#VALUE!</v>
      </c>
      <c r="E84" s="41" t="e">
        <f t="shared" si="18"/>
        <v>#VALUE!</v>
      </c>
      <c r="F84" s="43">
        <f t="shared" si="19"/>
        <v>0.6</v>
      </c>
      <c r="G84" s="43">
        <v>59.25</v>
      </c>
      <c r="H84" s="41" t="e">
        <f t="shared" si="20"/>
        <v>#VALUE!</v>
      </c>
      <c r="I84" s="51">
        <f t="shared" si="21"/>
        <v>0.6</v>
      </c>
      <c r="J84" s="42">
        <f t="shared" si="22"/>
        <v>3162.6153869129785</v>
      </c>
      <c r="K84" s="42">
        <f t="shared" si="1"/>
        <v>3105.4784262565645</v>
      </c>
      <c r="L84" s="45" t="e">
        <f t="shared" si="23"/>
        <v>#VALUE!</v>
      </c>
      <c r="M84" s="45" t="e">
        <f t="shared" si="24"/>
        <v>#VALUE!</v>
      </c>
      <c r="N84" s="45" t="e">
        <f t="shared" si="11"/>
        <v>#VALUE!</v>
      </c>
      <c r="O84" s="45" t="e">
        <f t="shared" si="12"/>
        <v>#VALUE!</v>
      </c>
      <c r="P84" s="45" t="e">
        <f t="shared" si="12"/>
        <v>#VALUE!</v>
      </c>
      <c r="Q84" s="45" t="e">
        <f t="shared" si="25"/>
        <v>#VALUE!</v>
      </c>
      <c r="R84" s="45" t="e">
        <f t="shared" si="13"/>
        <v>#VALUE!</v>
      </c>
      <c r="S84" s="45" t="e">
        <f t="shared" si="26"/>
        <v>#VALUE!</v>
      </c>
      <c r="T84" s="53">
        <v>57.136960656414203</v>
      </c>
      <c r="U84" s="45" t="e">
        <f t="shared" si="14"/>
        <v>#VALUE!</v>
      </c>
      <c r="V84" s="45" t="e">
        <f t="shared" si="15"/>
        <v>#VALUE!</v>
      </c>
      <c r="W84" s="45" t="e">
        <f t="shared" si="16"/>
        <v>#VALUE!</v>
      </c>
      <c r="X84" s="45" t="e">
        <f t="shared" si="2"/>
        <v>#VALUE!</v>
      </c>
      <c r="Y84" s="47" t="e">
        <f t="shared" si="28"/>
        <v>#VALUE!</v>
      </c>
      <c r="Z84" s="45">
        <f t="shared" si="3"/>
        <v>33.481743802837492</v>
      </c>
      <c r="AA84" s="49" t="e">
        <f t="shared" si="4"/>
        <v>#VALUE!</v>
      </c>
      <c r="AB84" s="45" t="e">
        <f t="shared" si="5"/>
        <v>#VALUE!</v>
      </c>
      <c r="AC84" s="48" t="e">
        <f t="shared" si="6"/>
        <v>#VALUE!</v>
      </c>
      <c r="AD84" s="48">
        <f t="shared" si="27"/>
        <v>4.1090909090909085</v>
      </c>
      <c r="AE84" s="48" t="e">
        <f t="shared" si="7"/>
        <v>#VALUE!</v>
      </c>
      <c r="AF84" s="48" t="e">
        <f t="shared" si="29"/>
        <v>#VALUE!</v>
      </c>
    </row>
    <row r="85" spans="1:32" x14ac:dyDescent="0.35">
      <c r="A85" s="40">
        <f t="shared" si="17"/>
        <v>-47</v>
      </c>
      <c r="B85" s="41">
        <f t="shared" si="9"/>
        <v>181.56363636363633</v>
      </c>
      <c r="C85" s="41" t="e">
        <f t="shared" si="10"/>
        <v>#VALUE!</v>
      </c>
      <c r="D85" s="41" t="e">
        <f t="shared" si="0"/>
        <v>#VALUE!</v>
      </c>
      <c r="E85" s="41" t="e">
        <f t="shared" si="18"/>
        <v>#VALUE!</v>
      </c>
      <c r="F85" s="43">
        <f t="shared" si="19"/>
        <v>0.6</v>
      </c>
      <c r="G85" s="43">
        <v>60.25</v>
      </c>
      <c r="H85" s="41" t="e">
        <f t="shared" si="20"/>
        <v>#VALUE!</v>
      </c>
      <c r="I85" s="51">
        <f t="shared" si="21"/>
        <v>0.6</v>
      </c>
      <c r="J85" s="42">
        <f t="shared" si="22"/>
        <v>3105.4784262565645</v>
      </c>
      <c r="K85" s="42">
        <f t="shared" si="1"/>
        <v>3047.3414656001505</v>
      </c>
      <c r="L85" s="45" t="e">
        <f t="shared" si="23"/>
        <v>#VALUE!</v>
      </c>
      <c r="M85" s="45" t="e">
        <f t="shared" si="24"/>
        <v>#VALUE!</v>
      </c>
      <c r="N85" s="45" t="e">
        <f t="shared" si="11"/>
        <v>#VALUE!</v>
      </c>
      <c r="O85" s="45" t="e">
        <f t="shared" si="12"/>
        <v>#VALUE!</v>
      </c>
      <c r="P85" s="45" t="e">
        <f t="shared" si="12"/>
        <v>#VALUE!</v>
      </c>
      <c r="Q85" s="45" t="e">
        <f t="shared" si="25"/>
        <v>#VALUE!</v>
      </c>
      <c r="R85" s="45" t="e">
        <f t="shared" si="13"/>
        <v>#VALUE!</v>
      </c>
      <c r="S85" s="45" t="e">
        <f t="shared" si="26"/>
        <v>#VALUE!</v>
      </c>
      <c r="T85" s="53">
        <v>58.136960656414203</v>
      </c>
      <c r="U85" s="45" t="e">
        <f t="shared" si="14"/>
        <v>#VALUE!</v>
      </c>
      <c r="V85" s="45" t="e">
        <f t="shared" si="15"/>
        <v>#VALUE!</v>
      </c>
      <c r="W85" s="45" t="e">
        <f t="shared" si="16"/>
        <v>#VALUE!</v>
      </c>
      <c r="X85" s="45" t="e">
        <f t="shared" si="2"/>
        <v>#VALUE!</v>
      </c>
      <c r="Y85" s="47" t="e">
        <f t="shared" si="28"/>
        <v>#VALUE!</v>
      </c>
      <c r="Z85" s="45">
        <f t="shared" si="3"/>
        <v>33.773468404634528</v>
      </c>
      <c r="AA85" s="49" t="e">
        <f t="shared" si="4"/>
        <v>#VALUE!</v>
      </c>
      <c r="AB85" s="45" t="e">
        <f t="shared" si="5"/>
        <v>#VALUE!</v>
      </c>
      <c r="AC85" s="48" t="e">
        <f t="shared" si="6"/>
        <v>#VALUE!</v>
      </c>
      <c r="AD85" s="48">
        <f t="shared" si="27"/>
        <v>4.1090909090909085</v>
      </c>
      <c r="AE85" s="48" t="e">
        <f t="shared" si="7"/>
        <v>#VALUE!</v>
      </c>
      <c r="AF85" s="48" t="e">
        <f t="shared" si="29"/>
        <v>#VALUE!</v>
      </c>
    </row>
    <row r="86" spans="1:32" x14ac:dyDescent="0.35">
      <c r="A86" s="40">
        <f t="shared" si="17"/>
        <v>-48</v>
      </c>
      <c r="B86" s="41">
        <f t="shared" si="9"/>
        <v>177.05454545454543</v>
      </c>
      <c r="C86" s="41" t="e">
        <f t="shared" si="10"/>
        <v>#VALUE!</v>
      </c>
      <c r="D86" s="41" t="e">
        <f t="shared" si="0"/>
        <v>#VALUE!</v>
      </c>
      <c r="E86" s="41" t="e">
        <f t="shared" si="18"/>
        <v>#VALUE!</v>
      </c>
      <c r="F86" s="43">
        <f t="shared" si="19"/>
        <v>0.6</v>
      </c>
      <c r="G86" s="43">
        <v>61.25</v>
      </c>
      <c r="H86" s="41" t="e">
        <f t="shared" si="20"/>
        <v>#VALUE!</v>
      </c>
      <c r="I86" s="51">
        <f t="shared" si="21"/>
        <v>0.6</v>
      </c>
      <c r="J86" s="42">
        <f t="shared" si="22"/>
        <v>3047.3414656001505</v>
      </c>
      <c r="K86" s="42">
        <f t="shared" si="1"/>
        <v>2988.2045049437365</v>
      </c>
      <c r="L86" s="45" t="e">
        <f t="shared" si="23"/>
        <v>#VALUE!</v>
      </c>
      <c r="M86" s="45" t="e">
        <f t="shared" si="24"/>
        <v>#VALUE!</v>
      </c>
      <c r="N86" s="45" t="e">
        <f t="shared" si="11"/>
        <v>#VALUE!</v>
      </c>
      <c r="O86" s="45" t="e">
        <f t="shared" si="12"/>
        <v>#VALUE!</v>
      </c>
      <c r="P86" s="45" t="e">
        <f t="shared" si="12"/>
        <v>#VALUE!</v>
      </c>
      <c r="Q86" s="45" t="e">
        <f t="shared" si="25"/>
        <v>#VALUE!</v>
      </c>
      <c r="R86" s="45" t="e">
        <f t="shared" si="13"/>
        <v>#VALUE!</v>
      </c>
      <c r="S86" s="45" t="e">
        <f t="shared" si="26"/>
        <v>#VALUE!</v>
      </c>
      <c r="T86" s="53">
        <v>59.136960656414203</v>
      </c>
      <c r="U86" s="45" t="e">
        <f t="shared" si="14"/>
        <v>#VALUE!</v>
      </c>
      <c r="V86" s="45" t="e">
        <f t="shared" si="15"/>
        <v>#VALUE!</v>
      </c>
      <c r="W86" s="45" t="e">
        <f t="shared" si="16"/>
        <v>#VALUE!</v>
      </c>
      <c r="X86" s="45" t="e">
        <f t="shared" si="2"/>
        <v>#VALUE!</v>
      </c>
      <c r="Y86" s="47" t="e">
        <f t="shared" si="28"/>
        <v>#VALUE!</v>
      </c>
      <c r="Z86" s="45">
        <f t="shared" si="3"/>
        <v>34.062694668491019</v>
      </c>
      <c r="AA86" s="49" t="e">
        <f t="shared" si="4"/>
        <v>#VALUE!</v>
      </c>
      <c r="AB86" s="45" t="e">
        <f t="shared" si="5"/>
        <v>#VALUE!</v>
      </c>
      <c r="AC86" s="48" t="e">
        <f t="shared" si="6"/>
        <v>#VALUE!</v>
      </c>
      <c r="AD86" s="48">
        <f t="shared" si="27"/>
        <v>4.1090909090909085</v>
      </c>
      <c r="AE86" s="48" t="e">
        <f t="shared" si="7"/>
        <v>#VALUE!</v>
      </c>
      <c r="AF86" s="48" t="e">
        <f t="shared" si="29"/>
        <v>#VALUE!</v>
      </c>
    </row>
    <row r="87" spans="1:32" x14ac:dyDescent="0.35">
      <c r="A87" s="40">
        <f t="shared" si="17"/>
        <v>-49</v>
      </c>
      <c r="B87" s="41">
        <f t="shared" si="9"/>
        <v>172.54545454545453</v>
      </c>
      <c r="C87" s="41" t="e">
        <f t="shared" si="10"/>
        <v>#VALUE!</v>
      </c>
      <c r="D87" s="41" t="e">
        <f t="shared" si="0"/>
        <v>#VALUE!</v>
      </c>
      <c r="E87" s="41" t="e">
        <f t="shared" si="18"/>
        <v>#VALUE!</v>
      </c>
      <c r="F87" s="43">
        <f t="shared" si="19"/>
        <v>0.6</v>
      </c>
      <c r="G87" s="43">
        <v>62.25</v>
      </c>
      <c r="H87" s="41" t="e">
        <f t="shared" si="20"/>
        <v>#VALUE!</v>
      </c>
      <c r="I87" s="51">
        <f t="shared" si="21"/>
        <v>0.6</v>
      </c>
      <c r="J87" s="42">
        <f t="shared" si="22"/>
        <v>2988.2045049437365</v>
      </c>
      <c r="K87" s="42">
        <f t="shared" si="1"/>
        <v>2928.0675442873226</v>
      </c>
      <c r="L87" s="45" t="e">
        <f t="shared" si="23"/>
        <v>#VALUE!</v>
      </c>
      <c r="M87" s="45" t="e">
        <f t="shared" si="24"/>
        <v>#VALUE!</v>
      </c>
      <c r="N87" s="45" t="e">
        <f t="shared" si="11"/>
        <v>#VALUE!</v>
      </c>
      <c r="O87" s="45" t="e">
        <f t="shared" si="12"/>
        <v>#VALUE!</v>
      </c>
      <c r="P87" s="45" t="e">
        <f t="shared" si="12"/>
        <v>#VALUE!</v>
      </c>
      <c r="Q87" s="45" t="e">
        <f t="shared" si="25"/>
        <v>#VALUE!</v>
      </c>
      <c r="R87" s="45" t="e">
        <f t="shared" si="13"/>
        <v>#VALUE!</v>
      </c>
      <c r="S87" s="45" t="e">
        <f t="shared" si="26"/>
        <v>#VALUE!</v>
      </c>
      <c r="T87" s="53">
        <v>60.136960656414203</v>
      </c>
      <c r="U87" s="45" t="e">
        <f t="shared" si="14"/>
        <v>#VALUE!</v>
      </c>
      <c r="V87" s="45" t="e">
        <f t="shared" si="15"/>
        <v>#VALUE!</v>
      </c>
      <c r="W87" s="45" t="e">
        <f t="shared" si="16"/>
        <v>#VALUE!</v>
      </c>
      <c r="X87" s="45" t="e">
        <f t="shared" si="2"/>
        <v>#VALUE!</v>
      </c>
      <c r="Y87" s="47" t="e">
        <f t="shared" si="28"/>
        <v>#VALUE!</v>
      </c>
      <c r="Z87" s="45">
        <f t="shared" si="3"/>
        <v>34.349485703265586</v>
      </c>
      <c r="AA87" s="49" t="e">
        <f t="shared" si="4"/>
        <v>#VALUE!</v>
      </c>
      <c r="AB87" s="45" t="e">
        <f t="shared" si="5"/>
        <v>#VALUE!</v>
      </c>
      <c r="AC87" s="48" t="e">
        <f t="shared" si="6"/>
        <v>#VALUE!</v>
      </c>
      <c r="AD87" s="48">
        <f t="shared" si="27"/>
        <v>4.1090909090909085</v>
      </c>
      <c r="AE87" s="48" t="e">
        <f t="shared" si="7"/>
        <v>#VALUE!</v>
      </c>
      <c r="AF87" s="48" t="e">
        <f t="shared" si="29"/>
        <v>#VALUE!</v>
      </c>
    </row>
    <row r="88" spans="1:32" x14ac:dyDescent="0.35">
      <c r="A88" s="40">
        <f t="shared" si="17"/>
        <v>-50</v>
      </c>
      <c r="B88" s="41">
        <f t="shared" si="9"/>
        <v>168.03636363636363</v>
      </c>
      <c r="C88" s="41" t="e">
        <f t="shared" si="10"/>
        <v>#VALUE!</v>
      </c>
      <c r="D88" s="41" t="e">
        <f t="shared" si="0"/>
        <v>#VALUE!</v>
      </c>
      <c r="E88" s="41" t="e">
        <f t="shared" si="18"/>
        <v>#VALUE!</v>
      </c>
      <c r="F88" s="43">
        <f t="shared" si="19"/>
        <v>0.6</v>
      </c>
      <c r="G88" s="43">
        <v>63.25</v>
      </c>
      <c r="H88" s="41" t="e">
        <f t="shared" si="20"/>
        <v>#VALUE!</v>
      </c>
      <c r="I88" s="51">
        <f t="shared" si="21"/>
        <v>0.6</v>
      </c>
      <c r="J88" s="42">
        <f t="shared" si="22"/>
        <v>2928.0675442873226</v>
      </c>
      <c r="K88" s="42">
        <f t="shared" si="1"/>
        <v>2866.9305836309086</v>
      </c>
      <c r="L88" s="45" t="e">
        <f t="shared" si="23"/>
        <v>#VALUE!</v>
      </c>
      <c r="M88" s="45" t="e">
        <f t="shared" si="24"/>
        <v>#VALUE!</v>
      </c>
      <c r="N88" s="45" t="e">
        <f t="shared" si="11"/>
        <v>#VALUE!</v>
      </c>
      <c r="O88" s="45" t="e">
        <f t="shared" si="12"/>
        <v>#VALUE!</v>
      </c>
      <c r="P88" s="45" t="e">
        <f t="shared" si="12"/>
        <v>#VALUE!</v>
      </c>
      <c r="Q88" s="45" t="e">
        <f t="shared" si="25"/>
        <v>#VALUE!</v>
      </c>
      <c r="R88" s="45" t="e">
        <f t="shared" si="13"/>
        <v>#VALUE!</v>
      </c>
      <c r="S88" s="45" t="e">
        <f t="shared" si="26"/>
        <v>#VALUE!</v>
      </c>
      <c r="T88" s="53">
        <v>61.136960656414203</v>
      </c>
      <c r="U88" s="45" t="e">
        <f t="shared" si="14"/>
        <v>#VALUE!</v>
      </c>
      <c r="V88" s="45" t="e">
        <f t="shared" si="15"/>
        <v>#VALUE!</v>
      </c>
      <c r="W88" s="45" t="e">
        <f t="shared" si="16"/>
        <v>#VALUE!</v>
      </c>
      <c r="X88" s="45" t="e">
        <f t="shared" si="2"/>
        <v>#VALUE!</v>
      </c>
      <c r="Y88" s="47" t="e">
        <f t="shared" si="28"/>
        <v>#VALUE!</v>
      </c>
      <c r="Z88" s="45">
        <f t="shared" si="3"/>
        <v>34.633902004810935</v>
      </c>
      <c r="AA88" s="49" t="e">
        <f t="shared" si="4"/>
        <v>#VALUE!</v>
      </c>
      <c r="AB88" s="45" t="e">
        <f t="shared" si="5"/>
        <v>#VALUE!</v>
      </c>
      <c r="AC88" s="48" t="e">
        <f t="shared" si="6"/>
        <v>#VALUE!</v>
      </c>
      <c r="AD88" s="48">
        <f t="shared" si="27"/>
        <v>4.1090909090909085</v>
      </c>
      <c r="AE88" s="48" t="e">
        <f t="shared" si="7"/>
        <v>#VALUE!</v>
      </c>
      <c r="AF88" s="48" t="e">
        <f t="shared" si="29"/>
        <v>#VALUE!</v>
      </c>
    </row>
    <row r="89" spans="1:32" x14ac:dyDescent="0.35">
      <c r="A89" s="40">
        <f t="shared" si="17"/>
        <v>-51</v>
      </c>
      <c r="B89" s="41">
        <f t="shared" si="9"/>
        <v>163.52727272727273</v>
      </c>
      <c r="C89" s="41" t="e">
        <f t="shared" si="10"/>
        <v>#VALUE!</v>
      </c>
      <c r="D89" s="41" t="e">
        <f t="shared" si="0"/>
        <v>#VALUE!</v>
      </c>
      <c r="E89" s="41" t="e">
        <f t="shared" si="18"/>
        <v>#VALUE!</v>
      </c>
      <c r="F89" s="43">
        <f t="shared" si="19"/>
        <v>0.6</v>
      </c>
      <c r="G89" s="43">
        <v>64.25</v>
      </c>
      <c r="H89" s="41" t="e">
        <f t="shared" si="20"/>
        <v>#VALUE!</v>
      </c>
      <c r="I89" s="51">
        <f t="shared" si="21"/>
        <v>0.6</v>
      </c>
      <c r="J89" s="42">
        <f t="shared" si="22"/>
        <v>2866.9305836309086</v>
      </c>
      <c r="K89" s="42">
        <f t="shared" si="1"/>
        <v>2804.7936229744946</v>
      </c>
      <c r="L89" s="45" t="e">
        <f t="shared" si="23"/>
        <v>#VALUE!</v>
      </c>
      <c r="M89" s="45" t="e">
        <f t="shared" si="24"/>
        <v>#VALUE!</v>
      </c>
      <c r="N89" s="45" t="e">
        <f t="shared" si="11"/>
        <v>#VALUE!</v>
      </c>
      <c r="O89" s="45" t="e">
        <f t="shared" si="12"/>
        <v>#VALUE!</v>
      </c>
      <c r="P89" s="45" t="e">
        <f t="shared" si="12"/>
        <v>#VALUE!</v>
      </c>
      <c r="Q89" s="45" t="e">
        <f t="shared" si="25"/>
        <v>#VALUE!</v>
      </c>
      <c r="R89" s="45" t="e">
        <f t="shared" si="13"/>
        <v>#VALUE!</v>
      </c>
      <c r="S89" s="45" t="e">
        <f t="shared" si="26"/>
        <v>#VALUE!</v>
      </c>
      <c r="T89" s="53">
        <v>62.136960656414203</v>
      </c>
      <c r="U89" s="45" t="e">
        <f t="shared" si="14"/>
        <v>#VALUE!</v>
      </c>
      <c r="V89" s="45" t="e">
        <f t="shared" si="15"/>
        <v>#VALUE!</v>
      </c>
      <c r="W89" s="45" t="e">
        <f t="shared" si="16"/>
        <v>#VALUE!</v>
      </c>
      <c r="X89" s="45" t="e">
        <f t="shared" si="2"/>
        <v>#VALUE!</v>
      </c>
      <c r="Y89" s="47" t="e">
        <f t="shared" si="28"/>
        <v>#VALUE!</v>
      </c>
      <c r="Z89" s="45">
        <f t="shared" si="3"/>
        <v>34.916001604978291</v>
      </c>
      <c r="AA89" s="49" t="e">
        <f t="shared" si="4"/>
        <v>#VALUE!</v>
      </c>
      <c r="AB89" s="45" t="e">
        <f t="shared" si="5"/>
        <v>#VALUE!</v>
      </c>
      <c r="AC89" s="48" t="e">
        <f t="shared" si="6"/>
        <v>#VALUE!</v>
      </c>
      <c r="AD89" s="48">
        <f t="shared" si="27"/>
        <v>4.1090909090909085</v>
      </c>
      <c r="AE89" s="48" t="e">
        <f t="shared" si="7"/>
        <v>#VALUE!</v>
      </c>
      <c r="AF89" s="48" t="e">
        <f t="shared" si="29"/>
        <v>#VALUE!</v>
      </c>
    </row>
    <row r="90" spans="1:32" x14ac:dyDescent="0.35">
      <c r="A90" s="40">
        <f t="shared" si="17"/>
        <v>-52</v>
      </c>
      <c r="B90" s="41">
        <f t="shared" si="9"/>
        <v>159.01818181818183</v>
      </c>
      <c r="C90" s="41" t="e">
        <f t="shared" si="10"/>
        <v>#VALUE!</v>
      </c>
      <c r="D90" s="41" t="e">
        <f t="shared" ref="D90:D124" si="30">C90-$F$18*$L$10</f>
        <v>#VALUE!</v>
      </c>
      <c r="E90" s="41" t="e">
        <f t="shared" si="18"/>
        <v>#VALUE!</v>
      </c>
      <c r="F90" s="43">
        <f t="shared" si="19"/>
        <v>0.6</v>
      </c>
      <c r="G90" s="43">
        <v>65.25</v>
      </c>
      <c r="H90" s="41" t="e">
        <f t="shared" si="20"/>
        <v>#VALUE!</v>
      </c>
      <c r="I90" s="51">
        <f t="shared" si="21"/>
        <v>0.6</v>
      </c>
      <c r="J90" s="42">
        <f t="shared" si="22"/>
        <v>2804.7936229744946</v>
      </c>
      <c r="K90" s="42">
        <f t="shared" ref="K90:K124" si="31">IF(A90=1,$F$13,J91)</f>
        <v>2741.6566623180806</v>
      </c>
      <c r="L90" s="45" t="e">
        <f t="shared" si="23"/>
        <v>#VALUE!</v>
      </c>
      <c r="M90" s="45" t="e">
        <f t="shared" si="24"/>
        <v>#VALUE!</v>
      </c>
      <c r="N90" s="45" t="e">
        <f t="shared" si="11"/>
        <v>#VALUE!</v>
      </c>
      <c r="O90" s="45" t="e">
        <f t="shared" si="12"/>
        <v>#VALUE!</v>
      </c>
      <c r="P90" s="45" t="e">
        <f t="shared" si="12"/>
        <v>#VALUE!</v>
      </c>
      <c r="Q90" s="45" t="e">
        <f t="shared" si="25"/>
        <v>#VALUE!</v>
      </c>
      <c r="R90" s="45" t="e">
        <f t="shared" si="13"/>
        <v>#VALUE!</v>
      </c>
      <c r="S90" s="45" t="e">
        <f t="shared" si="26"/>
        <v>#VALUE!</v>
      </c>
      <c r="T90" s="53">
        <v>63.136960656414203</v>
      </c>
      <c r="U90" s="45" t="e">
        <f t="shared" si="14"/>
        <v>#VALUE!</v>
      </c>
      <c r="V90" s="45" t="e">
        <f t="shared" si="15"/>
        <v>#VALUE!</v>
      </c>
      <c r="W90" s="45" t="e">
        <f t="shared" si="16"/>
        <v>#VALUE!</v>
      </c>
      <c r="X90" s="45" t="e">
        <f t="shared" ref="X90:X121" si="32">IF(J90&gt;E90,SQRT(2*9.81)*SQRT((J90-E90)^3)*F90*G90*W90*2/3,0)</f>
        <v>#VALUE!</v>
      </c>
      <c r="Y90" s="47" t="e">
        <f t="shared" si="28"/>
        <v>#VALUE!</v>
      </c>
      <c r="Z90" s="45">
        <f t="shared" ref="Z90:Z124" si="33">(2*9.81*T90)^0.5</f>
        <v>35.19584020987206</v>
      </c>
      <c r="AA90" s="49" t="e">
        <f t="shared" ref="AA90:AA121" si="34">IF(A90=1," ",9810*T90*Y90/(AC90*AD90))</f>
        <v>#VALUE!</v>
      </c>
      <c r="AB90" s="45" t="e">
        <f t="shared" ref="AB90:AB124" si="35">IF(A90=1," ",((K90-D90)+(J91-C91))/2)</f>
        <v>#VALUE!</v>
      </c>
      <c r="AC90" s="48" t="e">
        <f t="shared" ref="AC90:AC124" si="36">IF(A90=1," ",(((K90-D90)*($F$19+(K90-D90)*$F$21)+(J91-C91)*($F$19+(J91-C91)*$F$21))/2))</f>
        <v>#VALUE!</v>
      </c>
      <c r="AD90" s="48">
        <f t="shared" si="27"/>
        <v>4.1090909090909085</v>
      </c>
      <c r="AE90" s="48" t="e">
        <f t="shared" ref="AE90:AE124" si="37">IF(A90=1," ",Y90/AC90)</f>
        <v>#VALUE!</v>
      </c>
      <c r="AF90" s="48" t="e">
        <f t="shared" si="29"/>
        <v>#VALUE!</v>
      </c>
    </row>
    <row r="91" spans="1:32" x14ac:dyDescent="0.35">
      <c r="A91" s="40">
        <f t="shared" si="17"/>
        <v>-53</v>
      </c>
      <c r="B91" s="41">
        <f t="shared" ref="B91:B127" si="38">IF(A91=1,0,B92+AD91+$F$18)</f>
        <v>154.50909090909093</v>
      </c>
      <c r="C91" s="41" t="e">
        <f t="shared" ref="C91:C124" si="39">C90-((AD90+$F$18)*$L$10)</f>
        <v>#VALUE!</v>
      </c>
      <c r="D91" s="41" t="e">
        <f t="shared" si="30"/>
        <v>#VALUE!</v>
      </c>
      <c r="E91" s="41" t="e">
        <f t="shared" si="18"/>
        <v>#VALUE!</v>
      </c>
      <c r="F91" s="43">
        <f t="shared" si="19"/>
        <v>0.6</v>
      </c>
      <c r="G91" s="43">
        <v>66.25</v>
      </c>
      <c r="H91" s="41" t="e">
        <f t="shared" si="20"/>
        <v>#VALUE!</v>
      </c>
      <c r="I91" s="51">
        <f t="shared" si="21"/>
        <v>0.6</v>
      </c>
      <c r="J91" s="42">
        <f t="shared" si="22"/>
        <v>2741.6566623180806</v>
      </c>
      <c r="K91" s="42">
        <f t="shared" si="31"/>
        <v>2677.5197016616667</v>
      </c>
      <c r="L91" s="45" t="e">
        <f t="shared" si="23"/>
        <v>#VALUE!</v>
      </c>
      <c r="M91" s="45" t="e">
        <f t="shared" si="24"/>
        <v>#VALUE!</v>
      </c>
      <c r="N91" s="45" t="e">
        <f t="shared" ref="N91:N122" si="40">P91-$F$20/9</f>
        <v>#VALUE!</v>
      </c>
      <c r="O91" s="45" t="e">
        <f t="shared" ref="O91:P121" si="41">J91-C91</f>
        <v>#VALUE!</v>
      </c>
      <c r="P91" s="45" t="e">
        <f t="shared" si="41"/>
        <v>#VALUE!</v>
      </c>
      <c r="Q91" s="45" t="e">
        <f t="shared" si="25"/>
        <v>#VALUE!</v>
      </c>
      <c r="R91" s="45" t="e">
        <f t="shared" ref="R91:R121" si="42">((L91^(3/2)*SQRT(2*9.81)*$F$17*U91*I91*2/3)^2/(9.81*(IF($F$17=0,0.000001,$F$17))^2))^(1/3)</f>
        <v>#VALUE!</v>
      </c>
      <c r="S91" s="45" t="e">
        <f t="shared" si="26"/>
        <v>#VALUE!</v>
      </c>
      <c r="T91" s="53">
        <v>64.136960656414203</v>
      </c>
      <c r="U91" s="45" t="e">
        <f t="shared" ref="U91:U122" si="43">IF(M91/L91&lt;0.5,1,IF(M91/L91&gt;1,0,1-(M91/L91)^11))</f>
        <v>#VALUE!</v>
      </c>
      <c r="V91" s="45" t="e">
        <f t="shared" ref="V91:V123" si="44">IF(P91/O91&lt;0.5,1,IF(P91/O91&gt;1,0,1-(P91/O91)^11))</f>
        <v>#VALUE!</v>
      </c>
      <c r="W91" s="45" t="e">
        <f t="shared" ref="W91:W122" si="45">IF((K91-E91)/(J91-E91+0.000001)&lt;0.5,1,IF((K91-E91)/(J91-E91+0.000001)&gt;1,0,1-((K91-E91)/(J91-E91))^11))</f>
        <v>#VALUE!</v>
      </c>
      <c r="X91" s="45" t="e">
        <f t="shared" si="32"/>
        <v>#VALUE!</v>
      </c>
      <c r="Y91" s="47" t="e">
        <f t="shared" si="28"/>
        <v>#VALUE!</v>
      </c>
      <c r="Z91" s="45">
        <f t="shared" si="33"/>
        <v>35.473471328287658</v>
      </c>
      <c r="AA91" s="49" t="e">
        <f t="shared" si="34"/>
        <v>#VALUE!</v>
      </c>
      <c r="AB91" s="45" t="e">
        <f t="shared" si="35"/>
        <v>#VALUE!</v>
      </c>
      <c r="AC91" s="48" t="e">
        <f t="shared" si="36"/>
        <v>#VALUE!</v>
      </c>
      <c r="AD91" s="48">
        <f t="shared" si="27"/>
        <v>4.1090909090909085</v>
      </c>
      <c r="AE91" s="48" t="e">
        <f t="shared" si="37"/>
        <v>#VALUE!</v>
      </c>
      <c r="AF91" s="48" t="e">
        <f t="shared" si="29"/>
        <v>#VALUE!</v>
      </c>
    </row>
    <row r="92" spans="1:32" x14ac:dyDescent="0.35">
      <c r="A92" s="40">
        <f t="shared" ref="A92:A124" si="46">A91-1</f>
        <v>-54</v>
      </c>
      <c r="B92" s="41">
        <f t="shared" si="38"/>
        <v>150.00000000000003</v>
      </c>
      <c r="C92" s="41" t="e">
        <f t="shared" si="39"/>
        <v>#VALUE!</v>
      </c>
      <c r="D92" s="41" t="e">
        <f t="shared" si="30"/>
        <v>#VALUE!</v>
      </c>
      <c r="E92" s="41" t="e">
        <f t="shared" ref="E92:E124" si="47">C92+$F$14</f>
        <v>#VALUE!</v>
      </c>
      <c r="F92" s="43">
        <f t="shared" ref="F92:F124" si="48">F91</f>
        <v>0.6</v>
      </c>
      <c r="G92" s="43">
        <v>67.25</v>
      </c>
      <c r="H92" s="41" t="e">
        <f t="shared" ref="H92:H124" si="49">C92+$F$16</f>
        <v>#VALUE!</v>
      </c>
      <c r="I92" s="51">
        <f t="shared" ref="I92:I124" si="50">I91</f>
        <v>0.6</v>
      </c>
      <c r="J92" s="42">
        <f t="shared" ref="J92:J124" si="51">K92+T92</f>
        <v>2677.5197016616667</v>
      </c>
      <c r="K92" s="42">
        <f t="shared" si="31"/>
        <v>2612.3827410052527</v>
      </c>
      <c r="L92" s="45" t="e">
        <f t="shared" ref="L92:L124" si="52">J92-H92</f>
        <v>#VALUE!</v>
      </c>
      <c r="M92" s="45" t="e">
        <f t="shared" ref="M92:M124" si="53">K92-H92</f>
        <v>#VALUE!</v>
      </c>
      <c r="N92" s="45" t="e">
        <f t="shared" si="40"/>
        <v>#VALUE!</v>
      </c>
      <c r="O92" s="45" t="e">
        <f t="shared" si="41"/>
        <v>#VALUE!</v>
      </c>
      <c r="P92" s="45" t="e">
        <f t="shared" si="41"/>
        <v>#VALUE!</v>
      </c>
      <c r="Q92" s="45" t="e">
        <f t="shared" ref="Q92:Q121" si="54">((O92^(3/2)*SQRT(2*9.81)*($F$15-$F$17)*V92*0.55*2/3)^2/((9.81*($F$15-$F$17+0.0001)^2)))^(1/3)</f>
        <v>#VALUE!</v>
      </c>
      <c r="R92" s="45" t="e">
        <f t="shared" si="42"/>
        <v>#VALUE!</v>
      </c>
      <c r="S92" s="45" t="e">
        <f t="shared" ref="S92:S120" si="55">IF(AND(Q92&lt;P92,R92&lt;M92),"okay",IF(OR(Q92&lt;P92,R92&lt;M92),IF(F$17&lt;F$15,"tlw.okay","nicht okay"),"nicht okay"))</f>
        <v>#VALUE!</v>
      </c>
      <c r="T92" s="53">
        <v>65.136960656414203</v>
      </c>
      <c r="U92" s="45" t="e">
        <f t="shared" si="43"/>
        <v>#VALUE!</v>
      </c>
      <c r="V92" s="45" t="e">
        <f t="shared" si="44"/>
        <v>#VALUE!</v>
      </c>
      <c r="W92" s="45" t="e">
        <f t="shared" si="45"/>
        <v>#VALUE!</v>
      </c>
      <c r="X92" s="45" t="e">
        <f t="shared" si="32"/>
        <v>#VALUE!</v>
      </c>
      <c r="Y92" s="47" t="e">
        <f t="shared" si="28"/>
        <v>#VALUE!</v>
      </c>
      <c r="Z92" s="45">
        <f t="shared" si="33"/>
        <v>35.748946391171401</v>
      </c>
      <c r="AA92" s="49" t="e">
        <f t="shared" si="34"/>
        <v>#VALUE!</v>
      </c>
      <c r="AB92" s="45" t="e">
        <f t="shared" si="35"/>
        <v>#VALUE!</v>
      </c>
      <c r="AC92" s="48" t="e">
        <f t="shared" si="36"/>
        <v>#VALUE!</v>
      </c>
      <c r="AD92" s="48">
        <f t="shared" ref="AD92:AD124" si="56">IF(A92=1," ",($F$8-$F$18)/($F$9-1)-$F$18)</f>
        <v>4.1090909090909085</v>
      </c>
      <c r="AE92" s="48" t="e">
        <f t="shared" si="37"/>
        <v>#VALUE!</v>
      </c>
      <c r="AF92" s="48" t="e">
        <f t="shared" si="29"/>
        <v>#VALUE!</v>
      </c>
    </row>
    <row r="93" spans="1:32" x14ac:dyDescent="0.35">
      <c r="A93" s="40">
        <f t="shared" si="46"/>
        <v>-55</v>
      </c>
      <c r="B93" s="41">
        <f t="shared" si="38"/>
        <v>145.49090909090913</v>
      </c>
      <c r="C93" s="41" t="e">
        <f t="shared" si="39"/>
        <v>#VALUE!</v>
      </c>
      <c r="D93" s="41" t="e">
        <f t="shared" si="30"/>
        <v>#VALUE!</v>
      </c>
      <c r="E93" s="41" t="e">
        <f t="shared" si="47"/>
        <v>#VALUE!</v>
      </c>
      <c r="F93" s="43">
        <f t="shared" si="48"/>
        <v>0.6</v>
      </c>
      <c r="G93" s="43">
        <v>68.25</v>
      </c>
      <c r="H93" s="41" t="e">
        <f t="shared" si="49"/>
        <v>#VALUE!</v>
      </c>
      <c r="I93" s="51">
        <f t="shared" si="50"/>
        <v>0.6</v>
      </c>
      <c r="J93" s="42">
        <f t="shared" si="51"/>
        <v>2612.3827410052527</v>
      </c>
      <c r="K93" s="42">
        <f t="shared" si="31"/>
        <v>2546.2457803488387</v>
      </c>
      <c r="L93" s="45" t="e">
        <f t="shared" si="52"/>
        <v>#VALUE!</v>
      </c>
      <c r="M93" s="45" t="e">
        <f t="shared" si="53"/>
        <v>#VALUE!</v>
      </c>
      <c r="N93" s="45" t="e">
        <f t="shared" si="40"/>
        <v>#VALUE!</v>
      </c>
      <c r="O93" s="45" t="e">
        <f t="shared" si="41"/>
        <v>#VALUE!</v>
      </c>
      <c r="P93" s="45" t="e">
        <f t="shared" si="41"/>
        <v>#VALUE!</v>
      </c>
      <c r="Q93" s="45" t="e">
        <f t="shared" si="54"/>
        <v>#VALUE!</v>
      </c>
      <c r="R93" s="45" t="e">
        <f t="shared" si="42"/>
        <v>#VALUE!</v>
      </c>
      <c r="S93" s="45" t="e">
        <f t="shared" si="55"/>
        <v>#VALUE!</v>
      </c>
      <c r="T93" s="53">
        <v>66.136960656414203</v>
      </c>
      <c r="U93" s="45" t="e">
        <f t="shared" si="43"/>
        <v>#VALUE!</v>
      </c>
      <c r="V93" s="45" t="e">
        <f t="shared" si="44"/>
        <v>#VALUE!</v>
      </c>
      <c r="W93" s="45" t="e">
        <f t="shared" si="45"/>
        <v>#VALUE!</v>
      </c>
      <c r="X93" s="45" t="e">
        <f t="shared" si="32"/>
        <v>#VALUE!</v>
      </c>
      <c r="Y93" s="47" t="e">
        <f t="shared" si="28"/>
        <v>#VALUE!</v>
      </c>
      <c r="Z93" s="45">
        <f t="shared" si="33"/>
        <v>36.022314862857534</v>
      </c>
      <c r="AA93" s="49" t="e">
        <f t="shared" si="34"/>
        <v>#VALUE!</v>
      </c>
      <c r="AB93" s="45" t="e">
        <f t="shared" si="35"/>
        <v>#VALUE!</v>
      </c>
      <c r="AC93" s="48" t="e">
        <f t="shared" si="36"/>
        <v>#VALUE!</v>
      </c>
      <c r="AD93" s="48">
        <f t="shared" si="56"/>
        <v>4.1090909090909085</v>
      </c>
      <c r="AE93" s="48" t="e">
        <f t="shared" si="37"/>
        <v>#VALUE!</v>
      </c>
      <c r="AF93" s="48" t="e">
        <f t="shared" si="29"/>
        <v>#VALUE!</v>
      </c>
    </row>
    <row r="94" spans="1:32" x14ac:dyDescent="0.35">
      <c r="A94" s="40">
        <f t="shared" si="46"/>
        <v>-56</v>
      </c>
      <c r="B94" s="41">
        <f t="shared" si="38"/>
        <v>140.98181818181823</v>
      </c>
      <c r="C94" s="41" t="e">
        <f t="shared" si="39"/>
        <v>#VALUE!</v>
      </c>
      <c r="D94" s="41" t="e">
        <f t="shared" si="30"/>
        <v>#VALUE!</v>
      </c>
      <c r="E94" s="41" t="e">
        <f t="shared" si="47"/>
        <v>#VALUE!</v>
      </c>
      <c r="F94" s="43">
        <f t="shared" si="48"/>
        <v>0.6</v>
      </c>
      <c r="G94" s="43">
        <v>69.25</v>
      </c>
      <c r="H94" s="41" t="e">
        <f t="shared" si="49"/>
        <v>#VALUE!</v>
      </c>
      <c r="I94" s="51">
        <f t="shared" si="50"/>
        <v>0.6</v>
      </c>
      <c r="J94" s="42">
        <f t="shared" si="51"/>
        <v>2546.2457803488387</v>
      </c>
      <c r="K94" s="42">
        <f t="shared" si="31"/>
        <v>2479.1088196924247</v>
      </c>
      <c r="L94" s="45" t="e">
        <f t="shared" si="52"/>
        <v>#VALUE!</v>
      </c>
      <c r="M94" s="45" t="e">
        <f t="shared" si="53"/>
        <v>#VALUE!</v>
      </c>
      <c r="N94" s="45" t="e">
        <f t="shared" si="40"/>
        <v>#VALUE!</v>
      </c>
      <c r="O94" s="45" t="e">
        <f t="shared" si="41"/>
        <v>#VALUE!</v>
      </c>
      <c r="P94" s="45" t="e">
        <f t="shared" si="41"/>
        <v>#VALUE!</v>
      </c>
      <c r="Q94" s="45" t="e">
        <f t="shared" si="54"/>
        <v>#VALUE!</v>
      </c>
      <c r="R94" s="45" t="e">
        <f t="shared" si="42"/>
        <v>#VALUE!</v>
      </c>
      <c r="S94" s="45" t="e">
        <f t="shared" si="55"/>
        <v>#VALUE!</v>
      </c>
      <c r="T94" s="53">
        <v>67.136960656414203</v>
      </c>
      <c r="U94" s="45" t="e">
        <f t="shared" si="43"/>
        <v>#VALUE!</v>
      </c>
      <c r="V94" s="45" t="e">
        <f t="shared" si="44"/>
        <v>#VALUE!</v>
      </c>
      <c r="W94" s="45" t="e">
        <f t="shared" si="45"/>
        <v>#VALUE!</v>
      </c>
      <c r="X94" s="45" t="e">
        <f t="shared" si="32"/>
        <v>#VALUE!</v>
      </c>
      <c r="Y94" s="47" t="e">
        <f t="shared" ref="Y94:Y121" si="57">IF(L94&gt;0,L94^(3/2)*SQRT(2*9.81)*$F$17*U94*I94*2/3*$F$22,0)+O94^(3/2)*SQRT(2*9.81)*($F$15-$F$17)*V94*0.55*2/3*$F$22+X94</f>
        <v>#VALUE!</v>
      </c>
      <c r="Z94" s="45">
        <f t="shared" si="33"/>
        <v>36.293624344764005</v>
      </c>
      <c r="AA94" s="49" t="e">
        <f t="shared" si="34"/>
        <v>#VALUE!</v>
      </c>
      <c r="AB94" s="45" t="e">
        <f t="shared" si="35"/>
        <v>#VALUE!</v>
      </c>
      <c r="AC94" s="48" t="e">
        <f t="shared" si="36"/>
        <v>#VALUE!</v>
      </c>
      <c r="AD94" s="48">
        <f t="shared" si="56"/>
        <v>4.1090909090909085</v>
      </c>
      <c r="AE94" s="48" t="e">
        <f t="shared" si="37"/>
        <v>#VALUE!</v>
      </c>
      <c r="AF94" s="48" t="e">
        <f t="shared" si="29"/>
        <v>#VALUE!</v>
      </c>
    </row>
    <row r="95" spans="1:32" x14ac:dyDescent="0.35">
      <c r="A95" s="40">
        <f t="shared" si="46"/>
        <v>-57</v>
      </c>
      <c r="B95" s="41">
        <f t="shared" si="38"/>
        <v>136.47272727272733</v>
      </c>
      <c r="C95" s="41" t="e">
        <f t="shared" si="39"/>
        <v>#VALUE!</v>
      </c>
      <c r="D95" s="41" t="e">
        <f t="shared" si="30"/>
        <v>#VALUE!</v>
      </c>
      <c r="E95" s="41" t="e">
        <f t="shared" si="47"/>
        <v>#VALUE!</v>
      </c>
      <c r="F95" s="43">
        <f t="shared" si="48"/>
        <v>0.6</v>
      </c>
      <c r="G95" s="43">
        <v>70.25</v>
      </c>
      <c r="H95" s="41" t="e">
        <f t="shared" si="49"/>
        <v>#VALUE!</v>
      </c>
      <c r="I95" s="51">
        <f t="shared" si="50"/>
        <v>0.6</v>
      </c>
      <c r="J95" s="42">
        <f t="shared" si="51"/>
        <v>2479.1088196924247</v>
      </c>
      <c r="K95" s="42">
        <f t="shared" si="31"/>
        <v>2410.9718590360108</v>
      </c>
      <c r="L95" s="45" t="e">
        <f t="shared" si="52"/>
        <v>#VALUE!</v>
      </c>
      <c r="M95" s="45" t="e">
        <f t="shared" si="53"/>
        <v>#VALUE!</v>
      </c>
      <c r="N95" s="45" t="e">
        <f t="shared" si="40"/>
        <v>#VALUE!</v>
      </c>
      <c r="O95" s="45" t="e">
        <f t="shared" si="41"/>
        <v>#VALUE!</v>
      </c>
      <c r="P95" s="45" t="e">
        <f t="shared" si="41"/>
        <v>#VALUE!</v>
      </c>
      <c r="Q95" s="45" t="e">
        <f t="shared" si="54"/>
        <v>#VALUE!</v>
      </c>
      <c r="R95" s="45" t="e">
        <f t="shared" si="42"/>
        <v>#VALUE!</v>
      </c>
      <c r="S95" s="45" t="e">
        <f t="shared" si="55"/>
        <v>#VALUE!</v>
      </c>
      <c r="T95" s="53">
        <v>68.136960656414203</v>
      </c>
      <c r="U95" s="45" t="e">
        <f t="shared" si="43"/>
        <v>#VALUE!</v>
      </c>
      <c r="V95" s="45" t="e">
        <f t="shared" si="44"/>
        <v>#VALUE!</v>
      </c>
      <c r="W95" s="45" t="e">
        <f t="shared" si="45"/>
        <v>#VALUE!</v>
      </c>
      <c r="X95" s="45" t="e">
        <f t="shared" si="32"/>
        <v>#VALUE!</v>
      </c>
      <c r="Y95" s="47" t="e">
        <f t="shared" si="57"/>
        <v>#VALUE!</v>
      </c>
      <c r="Z95" s="45">
        <f t="shared" si="33"/>
        <v>36.562920672162484</v>
      </c>
      <c r="AA95" s="49" t="e">
        <f t="shared" si="34"/>
        <v>#VALUE!</v>
      </c>
      <c r="AB95" s="45" t="e">
        <f t="shared" si="35"/>
        <v>#VALUE!</v>
      </c>
      <c r="AC95" s="48" t="e">
        <f t="shared" si="36"/>
        <v>#VALUE!</v>
      </c>
      <c r="AD95" s="48">
        <f t="shared" si="56"/>
        <v>4.1090909090909085</v>
      </c>
      <c r="AE95" s="48" t="e">
        <f t="shared" si="37"/>
        <v>#VALUE!</v>
      </c>
      <c r="AF95" s="48" t="e">
        <f t="shared" si="29"/>
        <v>#VALUE!</v>
      </c>
    </row>
    <row r="96" spans="1:32" x14ac:dyDescent="0.35">
      <c r="A96" s="40">
        <f t="shared" si="46"/>
        <v>-58</v>
      </c>
      <c r="B96" s="41">
        <f t="shared" si="38"/>
        <v>131.96363636363643</v>
      </c>
      <c r="C96" s="41" t="e">
        <f t="shared" si="39"/>
        <v>#VALUE!</v>
      </c>
      <c r="D96" s="41" t="e">
        <f t="shared" si="30"/>
        <v>#VALUE!</v>
      </c>
      <c r="E96" s="41" t="e">
        <f t="shared" si="47"/>
        <v>#VALUE!</v>
      </c>
      <c r="F96" s="43">
        <f t="shared" si="48"/>
        <v>0.6</v>
      </c>
      <c r="G96" s="43">
        <v>71.25</v>
      </c>
      <c r="H96" s="41" t="e">
        <f t="shared" si="49"/>
        <v>#VALUE!</v>
      </c>
      <c r="I96" s="51">
        <f t="shared" si="50"/>
        <v>0.6</v>
      </c>
      <c r="J96" s="42">
        <f t="shared" si="51"/>
        <v>2410.9718590360108</v>
      </c>
      <c r="K96" s="42">
        <f t="shared" si="31"/>
        <v>2341.8348983795968</v>
      </c>
      <c r="L96" s="45" t="e">
        <f t="shared" si="52"/>
        <v>#VALUE!</v>
      </c>
      <c r="M96" s="45" t="e">
        <f t="shared" si="53"/>
        <v>#VALUE!</v>
      </c>
      <c r="N96" s="45" t="e">
        <f t="shared" si="40"/>
        <v>#VALUE!</v>
      </c>
      <c r="O96" s="45" t="e">
        <f t="shared" si="41"/>
        <v>#VALUE!</v>
      </c>
      <c r="P96" s="45" t="e">
        <f t="shared" si="41"/>
        <v>#VALUE!</v>
      </c>
      <c r="Q96" s="45" t="e">
        <f t="shared" si="54"/>
        <v>#VALUE!</v>
      </c>
      <c r="R96" s="45" t="e">
        <f t="shared" si="42"/>
        <v>#VALUE!</v>
      </c>
      <c r="S96" s="45" t="e">
        <f t="shared" si="55"/>
        <v>#VALUE!</v>
      </c>
      <c r="T96" s="53">
        <v>69.136960656414203</v>
      </c>
      <c r="U96" s="45" t="e">
        <f t="shared" si="43"/>
        <v>#VALUE!</v>
      </c>
      <c r="V96" s="45" t="e">
        <f t="shared" si="44"/>
        <v>#VALUE!</v>
      </c>
      <c r="W96" s="45" t="e">
        <f t="shared" si="45"/>
        <v>#VALUE!</v>
      </c>
      <c r="X96" s="45" t="e">
        <f t="shared" si="32"/>
        <v>#VALUE!</v>
      </c>
      <c r="Y96" s="47" t="e">
        <f t="shared" si="57"/>
        <v>#VALUE!</v>
      </c>
      <c r="Z96" s="45">
        <f t="shared" si="33"/>
        <v>36.830248004579694</v>
      </c>
      <c r="AA96" s="49" t="e">
        <f t="shared" si="34"/>
        <v>#VALUE!</v>
      </c>
      <c r="AB96" s="45" t="e">
        <f t="shared" si="35"/>
        <v>#VALUE!</v>
      </c>
      <c r="AC96" s="48" t="e">
        <f t="shared" si="36"/>
        <v>#VALUE!</v>
      </c>
      <c r="AD96" s="48">
        <f t="shared" si="56"/>
        <v>4.1090909090909085</v>
      </c>
      <c r="AE96" s="48" t="e">
        <f t="shared" si="37"/>
        <v>#VALUE!</v>
      </c>
      <c r="AF96" s="48" t="e">
        <f t="shared" si="29"/>
        <v>#VALUE!</v>
      </c>
    </row>
    <row r="97" spans="1:32" x14ac:dyDescent="0.35">
      <c r="A97" s="40">
        <f t="shared" si="46"/>
        <v>-59</v>
      </c>
      <c r="B97" s="41">
        <f t="shared" si="38"/>
        <v>127.45454545454552</v>
      </c>
      <c r="C97" s="41" t="e">
        <f t="shared" si="39"/>
        <v>#VALUE!</v>
      </c>
      <c r="D97" s="41" t="e">
        <f t="shared" si="30"/>
        <v>#VALUE!</v>
      </c>
      <c r="E97" s="41" t="e">
        <f t="shared" si="47"/>
        <v>#VALUE!</v>
      </c>
      <c r="F97" s="43">
        <f t="shared" si="48"/>
        <v>0.6</v>
      </c>
      <c r="G97" s="43">
        <v>72.25</v>
      </c>
      <c r="H97" s="41" t="e">
        <f t="shared" si="49"/>
        <v>#VALUE!</v>
      </c>
      <c r="I97" s="51">
        <f t="shared" si="50"/>
        <v>0.6</v>
      </c>
      <c r="J97" s="42">
        <f t="shared" si="51"/>
        <v>2341.8348983795968</v>
      </c>
      <c r="K97" s="42">
        <f t="shared" si="31"/>
        <v>2271.6979377231828</v>
      </c>
      <c r="L97" s="45" t="e">
        <f t="shared" si="52"/>
        <v>#VALUE!</v>
      </c>
      <c r="M97" s="45" t="e">
        <f t="shared" si="53"/>
        <v>#VALUE!</v>
      </c>
      <c r="N97" s="45" t="e">
        <f t="shared" si="40"/>
        <v>#VALUE!</v>
      </c>
      <c r="O97" s="45" t="e">
        <f t="shared" si="41"/>
        <v>#VALUE!</v>
      </c>
      <c r="P97" s="45" t="e">
        <f t="shared" si="41"/>
        <v>#VALUE!</v>
      </c>
      <c r="Q97" s="45" t="e">
        <f t="shared" si="54"/>
        <v>#VALUE!</v>
      </c>
      <c r="R97" s="45" t="e">
        <f t="shared" si="42"/>
        <v>#VALUE!</v>
      </c>
      <c r="S97" s="45" t="e">
        <f t="shared" si="55"/>
        <v>#VALUE!</v>
      </c>
      <c r="T97" s="53">
        <v>70.136960656414203</v>
      </c>
      <c r="U97" s="45" t="e">
        <f t="shared" si="43"/>
        <v>#VALUE!</v>
      </c>
      <c r="V97" s="45" t="e">
        <f t="shared" si="44"/>
        <v>#VALUE!</v>
      </c>
      <c r="W97" s="45" t="e">
        <f t="shared" si="45"/>
        <v>#VALUE!</v>
      </c>
      <c r="X97" s="45" t="e">
        <f t="shared" si="32"/>
        <v>#VALUE!</v>
      </c>
      <c r="Y97" s="47" t="e">
        <f t="shared" si="57"/>
        <v>#VALUE!</v>
      </c>
      <c r="Z97" s="45">
        <f t="shared" si="33"/>
        <v>37.095648910335115</v>
      </c>
      <c r="AA97" s="49" t="e">
        <f t="shared" si="34"/>
        <v>#VALUE!</v>
      </c>
      <c r="AB97" s="45" t="e">
        <f t="shared" si="35"/>
        <v>#VALUE!</v>
      </c>
      <c r="AC97" s="48" t="e">
        <f t="shared" si="36"/>
        <v>#VALUE!</v>
      </c>
      <c r="AD97" s="48">
        <f t="shared" si="56"/>
        <v>4.1090909090909085</v>
      </c>
      <c r="AE97" s="48" t="e">
        <f t="shared" si="37"/>
        <v>#VALUE!</v>
      </c>
      <c r="AF97" s="48" t="e">
        <f t="shared" ref="AF97:AF121" si="58">IF(A97=1," ",IF(OR((J97-C97)&lt;1.5*$F$14,(J97-C97)=1.5*$F$14),"Okay","Achtung!"))</f>
        <v>#VALUE!</v>
      </c>
    </row>
    <row r="98" spans="1:32" x14ac:dyDescent="0.35">
      <c r="A98" s="40">
        <f t="shared" si="46"/>
        <v>-60</v>
      </c>
      <c r="B98" s="41">
        <f t="shared" si="38"/>
        <v>122.94545454545461</v>
      </c>
      <c r="C98" s="41" t="e">
        <f t="shared" si="39"/>
        <v>#VALUE!</v>
      </c>
      <c r="D98" s="41" t="e">
        <f t="shared" si="30"/>
        <v>#VALUE!</v>
      </c>
      <c r="E98" s="41" t="e">
        <f t="shared" si="47"/>
        <v>#VALUE!</v>
      </c>
      <c r="F98" s="43">
        <f t="shared" si="48"/>
        <v>0.6</v>
      </c>
      <c r="G98" s="43">
        <v>73.25</v>
      </c>
      <c r="H98" s="41" t="e">
        <f t="shared" si="49"/>
        <v>#VALUE!</v>
      </c>
      <c r="I98" s="51">
        <f t="shared" si="50"/>
        <v>0.6</v>
      </c>
      <c r="J98" s="42">
        <f t="shared" si="51"/>
        <v>2271.6979377231828</v>
      </c>
      <c r="K98" s="42">
        <f t="shared" si="31"/>
        <v>2200.5609770667688</v>
      </c>
      <c r="L98" s="45" t="e">
        <f t="shared" si="52"/>
        <v>#VALUE!</v>
      </c>
      <c r="M98" s="45" t="e">
        <f t="shared" si="53"/>
        <v>#VALUE!</v>
      </c>
      <c r="N98" s="45" t="e">
        <f t="shared" si="40"/>
        <v>#VALUE!</v>
      </c>
      <c r="O98" s="45" t="e">
        <f t="shared" si="41"/>
        <v>#VALUE!</v>
      </c>
      <c r="P98" s="45" t="e">
        <f t="shared" si="41"/>
        <v>#VALUE!</v>
      </c>
      <c r="Q98" s="45" t="e">
        <f t="shared" si="54"/>
        <v>#VALUE!</v>
      </c>
      <c r="R98" s="45" t="e">
        <f t="shared" si="42"/>
        <v>#VALUE!</v>
      </c>
      <c r="S98" s="45" t="e">
        <f t="shared" si="55"/>
        <v>#VALUE!</v>
      </c>
      <c r="T98" s="53">
        <v>71.136960656414203</v>
      </c>
      <c r="U98" s="45" t="e">
        <f t="shared" si="43"/>
        <v>#VALUE!</v>
      </c>
      <c r="V98" s="45" t="e">
        <f t="shared" si="44"/>
        <v>#VALUE!</v>
      </c>
      <c r="W98" s="45" t="e">
        <f t="shared" si="45"/>
        <v>#VALUE!</v>
      </c>
      <c r="X98" s="45" t="e">
        <f t="shared" si="32"/>
        <v>#VALUE!</v>
      </c>
      <c r="Y98" s="47" t="e">
        <f t="shared" si="57"/>
        <v>#VALUE!</v>
      </c>
      <c r="Z98" s="45">
        <f t="shared" si="33"/>
        <v>37.359164445673123</v>
      </c>
      <c r="AA98" s="49" t="e">
        <f t="shared" si="34"/>
        <v>#VALUE!</v>
      </c>
      <c r="AB98" s="45" t="e">
        <f t="shared" si="35"/>
        <v>#VALUE!</v>
      </c>
      <c r="AC98" s="48" t="e">
        <f t="shared" si="36"/>
        <v>#VALUE!</v>
      </c>
      <c r="AD98" s="48">
        <f t="shared" si="56"/>
        <v>4.1090909090909085</v>
      </c>
      <c r="AE98" s="48" t="e">
        <f t="shared" si="37"/>
        <v>#VALUE!</v>
      </c>
      <c r="AF98" s="48" t="e">
        <f t="shared" si="58"/>
        <v>#VALUE!</v>
      </c>
    </row>
    <row r="99" spans="1:32" x14ac:dyDescent="0.35">
      <c r="A99" s="40">
        <f t="shared" si="46"/>
        <v>-61</v>
      </c>
      <c r="B99" s="41">
        <f t="shared" si="38"/>
        <v>118.43636363636369</v>
      </c>
      <c r="C99" s="41" t="e">
        <f t="shared" si="39"/>
        <v>#VALUE!</v>
      </c>
      <c r="D99" s="41" t="e">
        <f t="shared" si="30"/>
        <v>#VALUE!</v>
      </c>
      <c r="E99" s="41" t="e">
        <f t="shared" si="47"/>
        <v>#VALUE!</v>
      </c>
      <c r="F99" s="43">
        <f t="shared" si="48"/>
        <v>0.6</v>
      </c>
      <c r="G99" s="43">
        <v>74.25</v>
      </c>
      <c r="H99" s="41" t="e">
        <f t="shared" si="49"/>
        <v>#VALUE!</v>
      </c>
      <c r="I99" s="51">
        <f t="shared" si="50"/>
        <v>0.6</v>
      </c>
      <c r="J99" s="42">
        <f t="shared" si="51"/>
        <v>2200.5609770667688</v>
      </c>
      <c r="K99" s="42">
        <f t="shared" si="31"/>
        <v>2128.4240164103549</v>
      </c>
      <c r="L99" s="45" t="e">
        <f t="shared" si="52"/>
        <v>#VALUE!</v>
      </c>
      <c r="M99" s="45" t="e">
        <f t="shared" si="53"/>
        <v>#VALUE!</v>
      </c>
      <c r="N99" s="45" t="e">
        <f t="shared" si="40"/>
        <v>#VALUE!</v>
      </c>
      <c r="O99" s="45" t="e">
        <f t="shared" si="41"/>
        <v>#VALUE!</v>
      </c>
      <c r="P99" s="45" t="e">
        <f t="shared" si="41"/>
        <v>#VALUE!</v>
      </c>
      <c r="Q99" s="45" t="e">
        <f t="shared" si="54"/>
        <v>#VALUE!</v>
      </c>
      <c r="R99" s="45" t="e">
        <f t="shared" si="42"/>
        <v>#VALUE!</v>
      </c>
      <c r="S99" s="45" t="e">
        <f t="shared" si="55"/>
        <v>#VALUE!</v>
      </c>
      <c r="T99" s="53">
        <v>72.136960656414203</v>
      </c>
      <c r="U99" s="45" t="e">
        <f t="shared" si="43"/>
        <v>#VALUE!</v>
      </c>
      <c r="V99" s="45" t="e">
        <f t="shared" si="44"/>
        <v>#VALUE!</v>
      </c>
      <c r="W99" s="45" t="e">
        <f t="shared" si="45"/>
        <v>#VALUE!</v>
      </c>
      <c r="X99" s="45" t="e">
        <f t="shared" si="32"/>
        <v>#VALUE!</v>
      </c>
      <c r="Y99" s="47" t="e">
        <f t="shared" si="57"/>
        <v>#VALUE!</v>
      </c>
      <c r="Z99" s="45">
        <f t="shared" si="33"/>
        <v>37.620834228906283</v>
      </c>
      <c r="AA99" s="49" t="e">
        <f t="shared" si="34"/>
        <v>#VALUE!</v>
      </c>
      <c r="AB99" s="45" t="e">
        <f t="shared" si="35"/>
        <v>#VALUE!</v>
      </c>
      <c r="AC99" s="48" t="e">
        <f t="shared" si="36"/>
        <v>#VALUE!</v>
      </c>
      <c r="AD99" s="48">
        <f t="shared" si="56"/>
        <v>4.1090909090909085</v>
      </c>
      <c r="AE99" s="48" t="e">
        <f t="shared" si="37"/>
        <v>#VALUE!</v>
      </c>
      <c r="AF99" s="48" t="e">
        <f t="shared" si="58"/>
        <v>#VALUE!</v>
      </c>
    </row>
    <row r="100" spans="1:32" x14ac:dyDescent="0.35">
      <c r="A100" s="40">
        <f t="shared" si="46"/>
        <v>-62</v>
      </c>
      <c r="B100" s="41">
        <f t="shared" si="38"/>
        <v>113.92727272727278</v>
      </c>
      <c r="C100" s="41" t="e">
        <f t="shared" si="39"/>
        <v>#VALUE!</v>
      </c>
      <c r="D100" s="41" t="e">
        <f t="shared" si="30"/>
        <v>#VALUE!</v>
      </c>
      <c r="E100" s="41" t="e">
        <f t="shared" si="47"/>
        <v>#VALUE!</v>
      </c>
      <c r="F100" s="43">
        <f t="shared" si="48"/>
        <v>0.6</v>
      </c>
      <c r="G100" s="43">
        <v>75.25</v>
      </c>
      <c r="H100" s="41" t="e">
        <f t="shared" si="49"/>
        <v>#VALUE!</v>
      </c>
      <c r="I100" s="51">
        <f t="shared" si="50"/>
        <v>0.6</v>
      </c>
      <c r="J100" s="42">
        <f t="shared" si="51"/>
        <v>2128.4240164103549</v>
      </c>
      <c r="K100" s="42">
        <f t="shared" si="31"/>
        <v>2055.2870557539409</v>
      </c>
      <c r="L100" s="45" t="e">
        <f t="shared" si="52"/>
        <v>#VALUE!</v>
      </c>
      <c r="M100" s="45" t="e">
        <f t="shared" si="53"/>
        <v>#VALUE!</v>
      </c>
      <c r="N100" s="45" t="e">
        <f t="shared" si="40"/>
        <v>#VALUE!</v>
      </c>
      <c r="O100" s="45" t="e">
        <f t="shared" si="41"/>
        <v>#VALUE!</v>
      </c>
      <c r="P100" s="45" t="e">
        <f t="shared" si="41"/>
        <v>#VALUE!</v>
      </c>
      <c r="Q100" s="45" t="e">
        <f t="shared" si="54"/>
        <v>#VALUE!</v>
      </c>
      <c r="R100" s="45" t="e">
        <f t="shared" si="42"/>
        <v>#VALUE!</v>
      </c>
      <c r="S100" s="45" t="e">
        <f t="shared" si="55"/>
        <v>#VALUE!</v>
      </c>
      <c r="T100" s="53">
        <v>73.136960656414203</v>
      </c>
      <c r="U100" s="45" t="e">
        <f t="shared" si="43"/>
        <v>#VALUE!</v>
      </c>
      <c r="V100" s="45" t="e">
        <f t="shared" si="44"/>
        <v>#VALUE!</v>
      </c>
      <c r="W100" s="45" t="e">
        <f t="shared" si="45"/>
        <v>#VALUE!</v>
      </c>
      <c r="X100" s="45" t="e">
        <f t="shared" si="32"/>
        <v>#VALUE!</v>
      </c>
      <c r="Y100" s="47" t="e">
        <f t="shared" si="57"/>
        <v>#VALUE!</v>
      </c>
      <c r="Z100" s="45">
        <f t="shared" si="33"/>
        <v>37.880696509948791</v>
      </c>
      <c r="AA100" s="49" t="e">
        <f t="shared" si="34"/>
        <v>#VALUE!</v>
      </c>
      <c r="AB100" s="45" t="e">
        <f t="shared" si="35"/>
        <v>#VALUE!</v>
      </c>
      <c r="AC100" s="48" t="e">
        <f t="shared" si="36"/>
        <v>#VALUE!</v>
      </c>
      <c r="AD100" s="48">
        <f t="shared" si="56"/>
        <v>4.1090909090909085</v>
      </c>
      <c r="AE100" s="48" t="e">
        <f t="shared" si="37"/>
        <v>#VALUE!</v>
      </c>
      <c r="AF100" s="48" t="e">
        <f t="shared" si="58"/>
        <v>#VALUE!</v>
      </c>
    </row>
    <row r="101" spans="1:32" x14ac:dyDescent="0.35">
      <c r="A101" s="40">
        <f t="shared" si="46"/>
        <v>-63</v>
      </c>
      <c r="B101" s="41">
        <f t="shared" si="38"/>
        <v>109.41818181818186</v>
      </c>
      <c r="C101" s="41" t="e">
        <f t="shared" si="39"/>
        <v>#VALUE!</v>
      </c>
      <c r="D101" s="41" t="e">
        <f t="shared" si="30"/>
        <v>#VALUE!</v>
      </c>
      <c r="E101" s="41" t="e">
        <f t="shared" si="47"/>
        <v>#VALUE!</v>
      </c>
      <c r="F101" s="43">
        <f t="shared" si="48"/>
        <v>0.6</v>
      </c>
      <c r="G101" s="43">
        <v>76.25</v>
      </c>
      <c r="H101" s="41" t="e">
        <f t="shared" si="49"/>
        <v>#VALUE!</v>
      </c>
      <c r="I101" s="51">
        <f t="shared" si="50"/>
        <v>0.6</v>
      </c>
      <c r="J101" s="42">
        <f t="shared" si="51"/>
        <v>2055.2870557539409</v>
      </c>
      <c r="K101" s="42">
        <f t="shared" si="31"/>
        <v>1981.1500950975267</v>
      </c>
      <c r="L101" s="45" t="e">
        <f t="shared" si="52"/>
        <v>#VALUE!</v>
      </c>
      <c r="M101" s="45" t="e">
        <f t="shared" si="53"/>
        <v>#VALUE!</v>
      </c>
      <c r="N101" s="45" t="e">
        <f t="shared" si="40"/>
        <v>#VALUE!</v>
      </c>
      <c r="O101" s="45" t="e">
        <f t="shared" si="41"/>
        <v>#VALUE!</v>
      </c>
      <c r="P101" s="45" t="e">
        <f t="shared" si="41"/>
        <v>#VALUE!</v>
      </c>
      <c r="Q101" s="45" t="e">
        <f t="shared" si="54"/>
        <v>#VALUE!</v>
      </c>
      <c r="R101" s="45" t="e">
        <f t="shared" si="42"/>
        <v>#VALUE!</v>
      </c>
      <c r="S101" s="45" t="e">
        <f t="shared" si="55"/>
        <v>#VALUE!</v>
      </c>
      <c r="T101" s="53">
        <v>74.136960656414203</v>
      </c>
      <c r="U101" s="45" t="e">
        <f t="shared" si="43"/>
        <v>#VALUE!</v>
      </c>
      <c r="V101" s="45" t="e">
        <f t="shared" si="44"/>
        <v>#VALUE!</v>
      </c>
      <c r="W101" s="45" t="e">
        <f t="shared" si="45"/>
        <v>#VALUE!</v>
      </c>
      <c r="X101" s="45" t="e">
        <f t="shared" si="32"/>
        <v>#VALUE!</v>
      </c>
      <c r="Y101" s="47" t="e">
        <f t="shared" si="57"/>
        <v>#VALUE!</v>
      </c>
      <c r="Z101" s="45">
        <f t="shared" si="33"/>
        <v>38.13878823558565</v>
      </c>
      <c r="AA101" s="49" t="e">
        <f t="shared" si="34"/>
        <v>#VALUE!</v>
      </c>
      <c r="AB101" s="45" t="e">
        <f t="shared" si="35"/>
        <v>#VALUE!</v>
      </c>
      <c r="AC101" s="48" t="e">
        <f t="shared" si="36"/>
        <v>#VALUE!</v>
      </c>
      <c r="AD101" s="48">
        <f t="shared" si="56"/>
        <v>4.1090909090909085</v>
      </c>
      <c r="AE101" s="48" t="e">
        <f t="shared" si="37"/>
        <v>#VALUE!</v>
      </c>
      <c r="AF101" s="48" t="e">
        <f t="shared" si="58"/>
        <v>#VALUE!</v>
      </c>
    </row>
    <row r="102" spans="1:32" x14ac:dyDescent="0.35">
      <c r="A102" s="40">
        <f t="shared" si="46"/>
        <v>-64</v>
      </c>
      <c r="B102" s="41">
        <f t="shared" si="38"/>
        <v>104.90909090909095</v>
      </c>
      <c r="C102" s="41" t="e">
        <f t="shared" si="39"/>
        <v>#VALUE!</v>
      </c>
      <c r="D102" s="41" t="e">
        <f t="shared" si="30"/>
        <v>#VALUE!</v>
      </c>
      <c r="E102" s="41" t="e">
        <f t="shared" si="47"/>
        <v>#VALUE!</v>
      </c>
      <c r="F102" s="43">
        <f t="shared" si="48"/>
        <v>0.6</v>
      </c>
      <c r="G102" s="43">
        <v>77.25</v>
      </c>
      <c r="H102" s="41" t="e">
        <f t="shared" si="49"/>
        <v>#VALUE!</v>
      </c>
      <c r="I102" s="51">
        <f t="shared" si="50"/>
        <v>0.6</v>
      </c>
      <c r="J102" s="42">
        <f t="shared" si="51"/>
        <v>1981.1500950975267</v>
      </c>
      <c r="K102" s="42">
        <f t="shared" si="31"/>
        <v>1906.0131344411125</v>
      </c>
      <c r="L102" s="45" t="e">
        <f t="shared" si="52"/>
        <v>#VALUE!</v>
      </c>
      <c r="M102" s="45" t="e">
        <f t="shared" si="53"/>
        <v>#VALUE!</v>
      </c>
      <c r="N102" s="45" t="e">
        <f t="shared" si="40"/>
        <v>#VALUE!</v>
      </c>
      <c r="O102" s="45" t="e">
        <f t="shared" si="41"/>
        <v>#VALUE!</v>
      </c>
      <c r="P102" s="45" t="e">
        <f t="shared" si="41"/>
        <v>#VALUE!</v>
      </c>
      <c r="Q102" s="45" t="e">
        <f t="shared" si="54"/>
        <v>#VALUE!</v>
      </c>
      <c r="R102" s="45" t="e">
        <f t="shared" si="42"/>
        <v>#VALUE!</v>
      </c>
      <c r="S102" s="45" t="e">
        <f t="shared" si="55"/>
        <v>#VALUE!</v>
      </c>
      <c r="T102" s="53">
        <v>75.136960656414203</v>
      </c>
      <c r="U102" s="45" t="e">
        <f t="shared" si="43"/>
        <v>#VALUE!</v>
      </c>
      <c r="V102" s="45" t="e">
        <f t="shared" si="44"/>
        <v>#VALUE!</v>
      </c>
      <c r="W102" s="45" t="e">
        <f t="shared" si="45"/>
        <v>#VALUE!</v>
      </c>
      <c r="X102" s="45" t="e">
        <f t="shared" si="32"/>
        <v>#VALUE!</v>
      </c>
      <c r="Y102" s="47" t="e">
        <f t="shared" si="57"/>
        <v>#VALUE!</v>
      </c>
      <c r="Z102" s="45">
        <f t="shared" si="33"/>
        <v>38.395145110792939</v>
      </c>
      <c r="AA102" s="49" t="e">
        <f t="shared" si="34"/>
        <v>#VALUE!</v>
      </c>
      <c r="AB102" s="45" t="e">
        <f t="shared" si="35"/>
        <v>#VALUE!</v>
      </c>
      <c r="AC102" s="48" t="e">
        <f t="shared" si="36"/>
        <v>#VALUE!</v>
      </c>
      <c r="AD102" s="48">
        <f t="shared" si="56"/>
        <v>4.1090909090909085</v>
      </c>
      <c r="AE102" s="48" t="e">
        <f t="shared" si="37"/>
        <v>#VALUE!</v>
      </c>
      <c r="AF102" s="48" t="e">
        <f t="shared" si="58"/>
        <v>#VALUE!</v>
      </c>
    </row>
    <row r="103" spans="1:32" x14ac:dyDescent="0.35">
      <c r="A103" s="40">
        <f t="shared" si="46"/>
        <v>-65</v>
      </c>
      <c r="B103" s="41">
        <f t="shared" si="38"/>
        <v>100.40000000000003</v>
      </c>
      <c r="C103" s="41" t="e">
        <f t="shared" si="39"/>
        <v>#VALUE!</v>
      </c>
      <c r="D103" s="41" t="e">
        <f t="shared" si="30"/>
        <v>#VALUE!</v>
      </c>
      <c r="E103" s="41" t="e">
        <f t="shared" si="47"/>
        <v>#VALUE!</v>
      </c>
      <c r="F103" s="43">
        <f t="shared" si="48"/>
        <v>0.6</v>
      </c>
      <c r="G103" s="43">
        <v>78.25</v>
      </c>
      <c r="H103" s="41" t="e">
        <f t="shared" si="49"/>
        <v>#VALUE!</v>
      </c>
      <c r="I103" s="51">
        <f t="shared" si="50"/>
        <v>0.6</v>
      </c>
      <c r="J103" s="42">
        <f t="shared" si="51"/>
        <v>1906.0131344411125</v>
      </c>
      <c r="K103" s="42">
        <f t="shared" si="31"/>
        <v>1829.8761737846983</v>
      </c>
      <c r="L103" s="45" t="e">
        <f t="shared" si="52"/>
        <v>#VALUE!</v>
      </c>
      <c r="M103" s="45" t="e">
        <f t="shared" si="53"/>
        <v>#VALUE!</v>
      </c>
      <c r="N103" s="45" t="e">
        <f t="shared" si="40"/>
        <v>#VALUE!</v>
      </c>
      <c r="O103" s="45" t="e">
        <f t="shared" si="41"/>
        <v>#VALUE!</v>
      </c>
      <c r="P103" s="45" t="e">
        <f t="shared" si="41"/>
        <v>#VALUE!</v>
      </c>
      <c r="Q103" s="45" t="e">
        <f t="shared" si="54"/>
        <v>#VALUE!</v>
      </c>
      <c r="R103" s="45" t="e">
        <f t="shared" si="42"/>
        <v>#VALUE!</v>
      </c>
      <c r="S103" s="45" t="e">
        <f t="shared" si="55"/>
        <v>#VALUE!</v>
      </c>
      <c r="T103" s="53">
        <v>76.136960656414203</v>
      </c>
      <c r="U103" s="45" t="e">
        <f t="shared" si="43"/>
        <v>#VALUE!</v>
      </c>
      <c r="V103" s="45" t="e">
        <f t="shared" si="44"/>
        <v>#VALUE!</v>
      </c>
      <c r="W103" s="45" t="e">
        <f t="shared" si="45"/>
        <v>#VALUE!</v>
      </c>
      <c r="X103" s="45" t="e">
        <f t="shared" si="32"/>
        <v>#VALUE!</v>
      </c>
      <c r="Y103" s="47" t="e">
        <f t="shared" si="57"/>
        <v>#VALUE!</v>
      </c>
      <c r="Z103" s="45">
        <f t="shared" si="33"/>
        <v>38.649801656397237</v>
      </c>
      <c r="AA103" s="49" t="e">
        <f t="shared" si="34"/>
        <v>#VALUE!</v>
      </c>
      <c r="AB103" s="45" t="e">
        <f t="shared" si="35"/>
        <v>#VALUE!</v>
      </c>
      <c r="AC103" s="48" t="e">
        <f t="shared" si="36"/>
        <v>#VALUE!</v>
      </c>
      <c r="AD103" s="48">
        <f t="shared" si="56"/>
        <v>4.1090909090909085</v>
      </c>
      <c r="AE103" s="48" t="e">
        <f t="shared" si="37"/>
        <v>#VALUE!</v>
      </c>
      <c r="AF103" s="48" t="e">
        <f t="shared" si="58"/>
        <v>#VALUE!</v>
      </c>
    </row>
    <row r="104" spans="1:32" x14ac:dyDescent="0.35">
      <c r="A104" s="40">
        <f t="shared" si="46"/>
        <v>-66</v>
      </c>
      <c r="B104" s="41">
        <f t="shared" si="38"/>
        <v>95.890909090909119</v>
      </c>
      <c r="C104" s="41" t="e">
        <f t="shared" si="39"/>
        <v>#VALUE!</v>
      </c>
      <c r="D104" s="41" t="e">
        <f t="shared" si="30"/>
        <v>#VALUE!</v>
      </c>
      <c r="E104" s="41" t="e">
        <f t="shared" si="47"/>
        <v>#VALUE!</v>
      </c>
      <c r="F104" s="43">
        <f t="shared" si="48"/>
        <v>0.6</v>
      </c>
      <c r="G104" s="43">
        <v>79.25</v>
      </c>
      <c r="H104" s="41" t="e">
        <f t="shared" si="49"/>
        <v>#VALUE!</v>
      </c>
      <c r="I104" s="51">
        <f t="shared" si="50"/>
        <v>0.6</v>
      </c>
      <c r="J104" s="42">
        <f t="shared" si="51"/>
        <v>1829.8761737846983</v>
      </c>
      <c r="K104" s="42">
        <f t="shared" si="31"/>
        <v>1752.7392131282841</v>
      </c>
      <c r="L104" s="45" t="e">
        <f t="shared" si="52"/>
        <v>#VALUE!</v>
      </c>
      <c r="M104" s="45" t="e">
        <f t="shared" si="53"/>
        <v>#VALUE!</v>
      </c>
      <c r="N104" s="45" t="e">
        <f t="shared" si="40"/>
        <v>#VALUE!</v>
      </c>
      <c r="O104" s="45" t="e">
        <f t="shared" si="41"/>
        <v>#VALUE!</v>
      </c>
      <c r="P104" s="45" t="e">
        <f t="shared" si="41"/>
        <v>#VALUE!</v>
      </c>
      <c r="Q104" s="45" t="e">
        <f t="shared" si="54"/>
        <v>#VALUE!</v>
      </c>
      <c r="R104" s="45" t="e">
        <f t="shared" si="42"/>
        <v>#VALUE!</v>
      </c>
      <c r="S104" s="45" t="e">
        <f t="shared" si="55"/>
        <v>#VALUE!</v>
      </c>
      <c r="T104" s="53">
        <v>77.136960656414203</v>
      </c>
      <c r="U104" s="45" t="e">
        <f t="shared" si="43"/>
        <v>#VALUE!</v>
      </c>
      <c r="V104" s="45" t="e">
        <f t="shared" si="44"/>
        <v>#VALUE!</v>
      </c>
      <c r="W104" s="45" t="e">
        <f t="shared" si="45"/>
        <v>#VALUE!</v>
      </c>
      <c r="X104" s="45" t="e">
        <f t="shared" si="32"/>
        <v>#VALUE!</v>
      </c>
      <c r="Y104" s="47" t="e">
        <f t="shared" si="57"/>
        <v>#VALUE!</v>
      </c>
      <c r="Z104" s="45">
        <f t="shared" si="33"/>
        <v>38.902791263337988</v>
      </c>
      <c r="AA104" s="49" t="e">
        <f t="shared" si="34"/>
        <v>#VALUE!</v>
      </c>
      <c r="AB104" s="45" t="e">
        <f t="shared" si="35"/>
        <v>#VALUE!</v>
      </c>
      <c r="AC104" s="48" t="e">
        <f t="shared" si="36"/>
        <v>#VALUE!</v>
      </c>
      <c r="AD104" s="48">
        <f t="shared" si="56"/>
        <v>4.1090909090909085</v>
      </c>
      <c r="AE104" s="48" t="e">
        <f t="shared" si="37"/>
        <v>#VALUE!</v>
      </c>
      <c r="AF104" s="48" t="e">
        <f t="shared" si="58"/>
        <v>#VALUE!</v>
      </c>
    </row>
    <row r="105" spans="1:32" x14ac:dyDescent="0.35">
      <c r="A105" s="40">
        <f t="shared" si="46"/>
        <v>-67</v>
      </c>
      <c r="B105" s="41">
        <f t="shared" si="38"/>
        <v>91.381818181818204</v>
      </c>
      <c r="C105" s="41" t="e">
        <f t="shared" si="39"/>
        <v>#VALUE!</v>
      </c>
      <c r="D105" s="41" t="e">
        <f t="shared" si="30"/>
        <v>#VALUE!</v>
      </c>
      <c r="E105" s="41" t="e">
        <f t="shared" si="47"/>
        <v>#VALUE!</v>
      </c>
      <c r="F105" s="43">
        <f t="shared" si="48"/>
        <v>0.6</v>
      </c>
      <c r="G105" s="43">
        <v>80.25</v>
      </c>
      <c r="H105" s="41" t="e">
        <f t="shared" si="49"/>
        <v>#VALUE!</v>
      </c>
      <c r="I105" s="51">
        <f t="shared" si="50"/>
        <v>0.6</v>
      </c>
      <c r="J105" s="42">
        <f t="shared" si="51"/>
        <v>1752.7392131282841</v>
      </c>
      <c r="K105" s="42">
        <f t="shared" si="31"/>
        <v>1674.6022524718699</v>
      </c>
      <c r="L105" s="45" t="e">
        <f t="shared" si="52"/>
        <v>#VALUE!</v>
      </c>
      <c r="M105" s="45" t="e">
        <f t="shared" si="53"/>
        <v>#VALUE!</v>
      </c>
      <c r="N105" s="45" t="e">
        <f t="shared" si="40"/>
        <v>#VALUE!</v>
      </c>
      <c r="O105" s="45" t="e">
        <f t="shared" si="41"/>
        <v>#VALUE!</v>
      </c>
      <c r="P105" s="45" t="e">
        <f t="shared" si="41"/>
        <v>#VALUE!</v>
      </c>
      <c r="Q105" s="45" t="e">
        <f t="shared" si="54"/>
        <v>#VALUE!</v>
      </c>
      <c r="R105" s="45" t="e">
        <f t="shared" si="42"/>
        <v>#VALUE!</v>
      </c>
      <c r="S105" s="45" t="e">
        <f t="shared" si="55"/>
        <v>#VALUE!</v>
      </c>
      <c r="T105" s="53">
        <v>78.136960656414203</v>
      </c>
      <c r="U105" s="45" t="e">
        <f t="shared" si="43"/>
        <v>#VALUE!</v>
      </c>
      <c r="V105" s="45" t="e">
        <f t="shared" si="44"/>
        <v>#VALUE!</v>
      </c>
      <c r="W105" s="45" t="e">
        <f t="shared" si="45"/>
        <v>#VALUE!</v>
      </c>
      <c r="X105" s="45" t="e">
        <f t="shared" si="32"/>
        <v>#VALUE!</v>
      </c>
      <c r="Y105" s="47" t="e">
        <f t="shared" si="57"/>
        <v>#VALUE!</v>
      </c>
      <c r="Z105" s="45">
        <f t="shared" si="33"/>
        <v>39.154146243774065</v>
      </c>
      <c r="AA105" s="49" t="e">
        <f t="shared" si="34"/>
        <v>#VALUE!</v>
      </c>
      <c r="AB105" s="45" t="e">
        <f t="shared" si="35"/>
        <v>#VALUE!</v>
      </c>
      <c r="AC105" s="48" t="e">
        <f t="shared" si="36"/>
        <v>#VALUE!</v>
      </c>
      <c r="AD105" s="48">
        <f t="shared" si="56"/>
        <v>4.1090909090909085</v>
      </c>
      <c r="AE105" s="48" t="e">
        <f t="shared" si="37"/>
        <v>#VALUE!</v>
      </c>
      <c r="AF105" s="48" t="e">
        <f t="shared" si="58"/>
        <v>#VALUE!</v>
      </c>
    </row>
    <row r="106" spans="1:32" x14ac:dyDescent="0.35">
      <c r="A106" s="40">
        <f t="shared" si="46"/>
        <v>-68</v>
      </c>
      <c r="B106" s="41">
        <f t="shared" si="38"/>
        <v>86.872727272727289</v>
      </c>
      <c r="C106" s="41" t="e">
        <f t="shared" si="39"/>
        <v>#VALUE!</v>
      </c>
      <c r="D106" s="41" t="e">
        <f t="shared" si="30"/>
        <v>#VALUE!</v>
      </c>
      <c r="E106" s="41" t="e">
        <f t="shared" si="47"/>
        <v>#VALUE!</v>
      </c>
      <c r="F106" s="43">
        <f t="shared" si="48"/>
        <v>0.6</v>
      </c>
      <c r="G106" s="43">
        <v>81.25</v>
      </c>
      <c r="H106" s="41" t="e">
        <f t="shared" si="49"/>
        <v>#VALUE!</v>
      </c>
      <c r="I106" s="51">
        <f t="shared" si="50"/>
        <v>0.6</v>
      </c>
      <c r="J106" s="42">
        <f t="shared" si="51"/>
        <v>1674.6022524718699</v>
      </c>
      <c r="K106" s="42">
        <f t="shared" si="31"/>
        <v>1595.4652918154557</v>
      </c>
      <c r="L106" s="45" t="e">
        <f t="shared" si="52"/>
        <v>#VALUE!</v>
      </c>
      <c r="M106" s="45" t="e">
        <f t="shared" si="53"/>
        <v>#VALUE!</v>
      </c>
      <c r="N106" s="45" t="e">
        <f t="shared" si="40"/>
        <v>#VALUE!</v>
      </c>
      <c r="O106" s="45" t="e">
        <f t="shared" si="41"/>
        <v>#VALUE!</v>
      </c>
      <c r="P106" s="45" t="e">
        <f t="shared" si="41"/>
        <v>#VALUE!</v>
      </c>
      <c r="Q106" s="45" t="e">
        <f t="shared" si="54"/>
        <v>#VALUE!</v>
      </c>
      <c r="R106" s="45" t="e">
        <f t="shared" si="42"/>
        <v>#VALUE!</v>
      </c>
      <c r="S106" s="45" t="e">
        <f t="shared" si="55"/>
        <v>#VALUE!</v>
      </c>
      <c r="T106" s="53">
        <v>79.136960656414203</v>
      </c>
      <c r="U106" s="45" t="e">
        <f t="shared" si="43"/>
        <v>#VALUE!</v>
      </c>
      <c r="V106" s="45" t="e">
        <f t="shared" si="44"/>
        <v>#VALUE!</v>
      </c>
      <c r="W106" s="45" t="e">
        <f t="shared" si="45"/>
        <v>#VALUE!</v>
      </c>
      <c r="X106" s="45" t="e">
        <f t="shared" si="32"/>
        <v>#VALUE!</v>
      </c>
      <c r="Y106" s="47" t="e">
        <f t="shared" si="57"/>
        <v>#VALUE!</v>
      </c>
      <c r="Z106" s="45">
        <f t="shared" si="33"/>
        <v>39.403897879256142</v>
      </c>
      <c r="AA106" s="49" t="e">
        <f t="shared" si="34"/>
        <v>#VALUE!</v>
      </c>
      <c r="AB106" s="45" t="e">
        <f t="shared" si="35"/>
        <v>#VALUE!</v>
      </c>
      <c r="AC106" s="48" t="e">
        <f t="shared" si="36"/>
        <v>#VALUE!</v>
      </c>
      <c r="AD106" s="48">
        <f t="shared" si="56"/>
        <v>4.1090909090909085</v>
      </c>
      <c r="AE106" s="48" t="e">
        <f t="shared" si="37"/>
        <v>#VALUE!</v>
      </c>
      <c r="AF106" s="48" t="e">
        <f t="shared" si="58"/>
        <v>#VALUE!</v>
      </c>
    </row>
    <row r="107" spans="1:32" x14ac:dyDescent="0.35">
      <c r="A107" s="40">
        <f t="shared" si="46"/>
        <v>-69</v>
      </c>
      <c r="B107" s="41">
        <f t="shared" si="38"/>
        <v>82.363636363636374</v>
      </c>
      <c r="C107" s="41" t="e">
        <f t="shared" si="39"/>
        <v>#VALUE!</v>
      </c>
      <c r="D107" s="41" t="e">
        <f t="shared" si="30"/>
        <v>#VALUE!</v>
      </c>
      <c r="E107" s="41" t="e">
        <f t="shared" si="47"/>
        <v>#VALUE!</v>
      </c>
      <c r="F107" s="43">
        <f t="shared" si="48"/>
        <v>0.6</v>
      </c>
      <c r="G107" s="43">
        <v>82.25</v>
      </c>
      <c r="H107" s="41" t="e">
        <f t="shared" si="49"/>
        <v>#VALUE!</v>
      </c>
      <c r="I107" s="51">
        <f t="shared" si="50"/>
        <v>0.6</v>
      </c>
      <c r="J107" s="42">
        <f t="shared" si="51"/>
        <v>1595.4652918154557</v>
      </c>
      <c r="K107" s="42">
        <f t="shared" si="31"/>
        <v>1515.3283311590415</v>
      </c>
      <c r="L107" s="45" t="e">
        <f t="shared" si="52"/>
        <v>#VALUE!</v>
      </c>
      <c r="M107" s="45" t="e">
        <f t="shared" si="53"/>
        <v>#VALUE!</v>
      </c>
      <c r="N107" s="45" t="e">
        <f t="shared" si="40"/>
        <v>#VALUE!</v>
      </c>
      <c r="O107" s="45" t="e">
        <f t="shared" si="41"/>
        <v>#VALUE!</v>
      </c>
      <c r="P107" s="45" t="e">
        <f t="shared" si="41"/>
        <v>#VALUE!</v>
      </c>
      <c r="Q107" s="45" t="e">
        <f t="shared" si="54"/>
        <v>#VALUE!</v>
      </c>
      <c r="R107" s="45" t="e">
        <f t="shared" si="42"/>
        <v>#VALUE!</v>
      </c>
      <c r="S107" s="45" t="e">
        <f t="shared" si="55"/>
        <v>#VALUE!</v>
      </c>
      <c r="T107" s="53">
        <v>80.136960656414203</v>
      </c>
      <c r="U107" s="45" t="e">
        <f t="shared" si="43"/>
        <v>#VALUE!</v>
      </c>
      <c r="V107" s="45" t="e">
        <f t="shared" si="44"/>
        <v>#VALUE!</v>
      </c>
      <c r="W107" s="45" t="e">
        <f t="shared" si="45"/>
        <v>#VALUE!</v>
      </c>
      <c r="X107" s="45" t="e">
        <f t="shared" si="32"/>
        <v>#VALUE!</v>
      </c>
      <c r="Y107" s="47" t="e">
        <f t="shared" si="57"/>
        <v>#VALUE!</v>
      </c>
      <c r="Z107" s="45">
        <f t="shared" si="33"/>
        <v>39.652076466168161</v>
      </c>
      <c r="AA107" s="49" t="e">
        <f t="shared" si="34"/>
        <v>#VALUE!</v>
      </c>
      <c r="AB107" s="45" t="e">
        <f t="shared" si="35"/>
        <v>#VALUE!</v>
      </c>
      <c r="AC107" s="48" t="e">
        <f t="shared" si="36"/>
        <v>#VALUE!</v>
      </c>
      <c r="AD107" s="48">
        <f t="shared" si="56"/>
        <v>4.1090909090909085</v>
      </c>
      <c r="AE107" s="48" t="e">
        <f t="shared" si="37"/>
        <v>#VALUE!</v>
      </c>
      <c r="AF107" s="48" t="e">
        <f t="shared" si="58"/>
        <v>#VALUE!</v>
      </c>
    </row>
    <row r="108" spans="1:32" x14ac:dyDescent="0.35">
      <c r="A108" s="40">
        <f t="shared" si="46"/>
        <v>-70</v>
      </c>
      <c r="B108" s="41">
        <f t="shared" si="38"/>
        <v>77.854545454545459</v>
      </c>
      <c r="C108" s="41" t="e">
        <f t="shared" si="39"/>
        <v>#VALUE!</v>
      </c>
      <c r="D108" s="41" t="e">
        <f t="shared" si="30"/>
        <v>#VALUE!</v>
      </c>
      <c r="E108" s="41" t="e">
        <f t="shared" si="47"/>
        <v>#VALUE!</v>
      </c>
      <c r="F108" s="43">
        <f t="shared" si="48"/>
        <v>0.6</v>
      </c>
      <c r="G108" s="43">
        <v>83.25</v>
      </c>
      <c r="H108" s="41" t="e">
        <f t="shared" si="49"/>
        <v>#VALUE!</v>
      </c>
      <c r="I108" s="51">
        <f t="shared" si="50"/>
        <v>0.6</v>
      </c>
      <c r="J108" s="42">
        <f t="shared" si="51"/>
        <v>1515.3283311590415</v>
      </c>
      <c r="K108" s="42">
        <f t="shared" si="31"/>
        <v>1434.1913705026273</v>
      </c>
      <c r="L108" s="45" t="e">
        <f t="shared" si="52"/>
        <v>#VALUE!</v>
      </c>
      <c r="M108" s="45" t="e">
        <f t="shared" si="53"/>
        <v>#VALUE!</v>
      </c>
      <c r="N108" s="45" t="e">
        <f t="shared" si="40"/>
        <v>#VALUE!</v>
      </c>
      <c r="O108" s="45" t="e">
        <f t="shared" si="41"/>
        <v>#VALUE!</v>
      </c>
      <c r="P108" s="45" t="e">
        <f t="shared" si="41"/>
        <v>#VALUE!</v>
      </c>
      <c r="Q108" s="45" t="e">
        <f t="shared" si="54"/>
        <v>#VALUE!</v>
      </c>
      <c r="R108" s="45" t="e">
        <f t="shared" si="42"/>
        <v>#VALUE!</v>
      </c>
      <c r="S108" s="45" t="e">
        <f t="shared" si="55"/>
        <v>#VALUE!</v>
      </c>
      <c r="T108" s="53">
        <v>81.136960656414203</v>
      </c>
      <c r="U108" s="45" t="e">
        <f t="shared" si="43"/>
        <v>#VALUE!</v>
      </c>
      <c r="V108" s="45" t="e">
        <f t="shared" si="44"/>
        <v>#VALUE!</v>
      </c>
      <c r="W108" s="45" t="e">
        <f t="shared" si="45"/>
        <v>#VALUE!</v>
      </c>
      <c r="X108" s="45" t="e">
        <f t="shared" si="32"/>
        <v>#VALUE!</v>
      </c>
      <c r="Y108" s="47" t="e">
        <f t="shared" si="57"/>
        <v>#VALUE!</v>
      </c>
      <c r="Z108" s="45">
        <f t="shared" si="33"/>
        <v>39.898711358624688</v>
      </c>
      <c r="AA108" s="49" t="e">
        <f t="shared" si="34"/>
        <v>#VALUE!</v>
      </c>
      <c r="AB108" s="45" t="e">
        <f t="shared" si="35"/>
        <v>#VALUE!</v>
      </c>
      <c r="AC108" s="48" t="e">
        <f t="shared" si="36"/>
        <v>#VALUE!</v>
      </c>
      <c r="AD108" s="48">
        <f t="shared" si="56"/>
        <v>4.1090909090909085</v>
      </c>
      <c r="AE108" s="48" t="e">
        <f t="shared" si="37"/>
        <v>#VALUE!</v>
      </c>
      <c r="AF108" s="48" t="e">
        <f t="shared" si="58"/>
        <v>#VALUE!</v>
      </c>
    </row>
    <row r="109" spans="1:32" x14ac:dyDescent="0.35">
      <c r="A109" s="40">
        <f t="shared" si="46"/>
        <v>-71</v>
      </c>
      <c r="B109" s="41">
        <f t="shared" si="38"/>
        <v>73.345454545454544</v>
      </c>
      <c r="C109" s="41" t="e">
        <f t="shared" si="39"/>
        <v>#VALUE!</v>
      </c>
      <c r="D109" s="41" t="e">
        <f t="shared" si="30"/>
        <v>#VALUE!</v>
      </c>
      <c r="E109" s="41" t="e">
        <f t="shared" si="47"/>
        <v>#VALUE!</v>
      </c>
      <c r="F109" s="43">
        <f t="shared" si="48"/>
        <v>0.6</v>
      </c>
      <c r="G109" s="43">
        <v>84.25</v>
      </c>
      <c r="H109" s="41" t="e">
        <f t="shared" si="49"/>
        <v>#VALUE!</v>
      </c>
      <c r="I109" s="51">
        <f t="shared" si="50"/>
        <v>0.6</v>
      </c>
      <c r="J109" s="42">
        <f t="shared" si="51"/>
        <v>1434.1913705026273</v>
      </c>
      <c r="K109" s="42">
        <f t="shared" si="31"/>
        <v>1352.054409846213</v>
      </c>
      <c r="L109" s="45" t="e">
        <f t="shared" si="52"/>
        <v>#VALUE!</v>
      </c>
      <c r="M109" s="45" t="e">
        <f t="shared" si="53"/>
        <v>#VALUE!</v>
      </c>
      <c r="N109" s="45" t="e">
        <f t="shared" si="40"/>
        <v>#VALUE!</v>
      </c>
      <c r="O109" s="45" t="e">
        <f t="shared" si="41"/>
        <v>#VALUE!</v>
      </c>
      <c r="P109" s="45" t="e">
        <f t="shared" si="41"/>
        <v>#VALUE!</v>
      </c>
      <c r="Q109" s="45" t="e">
        <f t="shared" si="54"/>
        <v>#VALUE!</v>
      </c>
      <c r="R109" s="45" t="e">
        <f t="shared" si="42"/>
        <v>#VALUE!</v>
      </c>
      <c r="S109" s="45" t="e">
        <f t="shared" si="55"/>
        <v>#VALUE!</v>
      </c>
      <c r="T109" s="53">
        <v>82.136960656414203</v>
      </c>
      <c r="U109" s="45" t="e">
        <f t="shared" si="43"/>
        <v>#VALUE!</v>
      </c>
      <c r="V109" s="45" t="e">
        <f t="shared" si="44"/>
        <v>#VALUE!</v>
      </c>
      <c r="W109" s="45" t="e">
        <f t="shared" si="45"/>
        <v>#VALUE!</v>
      </c>
      <c r="X109" s="45" t="e">
        <f t="shared" si="32"/>
        <v>#VALUE!</v>
      </c>
      <c r="Y109" s="47" t="e">
        <f t="shared" si="57"/>
        <v>#VALUE!</v>
      </c>
      <c r="Z109" s="45">
        <f t="shared" si="33"/>
        <v>40.143831008996223</v>
      </c>
      <c r="AA109" s="49" t="e">
        <f t="shared" si="34"/>
        <v>#VALUE!</v>
      </c>
      <c r="AB109" s="45" t="e">
        <f t="shared" si="35"/>
        <v>#VALUE!</v>
      </c>
      <c r="AC109" s="48" t="e">
        <f t="shared" si="36"/>
        <v>#VALUE!</v>
      </c>
      <c r="AD109" s="48">
        <f t="shared" si="56"/>
        <v>4.1090909090909085</v>
      </c>
      <c r="AE109" s="48" t="e">
        <f t="shared" si="37"/>
        <v>#VALUE!</v>
      </c>
      <c r="AF109" s="48" t="e">
        <f t="shared" si="58"/>
        <v>#VALUE!</v>
      </c>
    </row>
    <row r="110" spans="1:32" x14ac:dyDescent="0.35">
      <c r="A110" s="40">
        <f t="shared" si="46"/>
        <v>-72</v>
      </c>
      <c r="B110" s="41">
        <f t="shared" si="38"/>
        <v>68.836363636363629</v>
      </c>
      <c r="C110" s="41" t="e">
        <f t="shared" si="39"/>
        <v>#VALUE!</v>
      </c>
      <c r="D110" s="41" t="e">
        <f t="shared" si="30"/>
        <v>#VALUE!</v>
      </c>
      <c r="E110" s="41" t="e">
        <f t="shared" si="47"/>
        <v>#VALUE!</v>
      </c>
      <c r="F110" s="43">
        <f t="shared" si="48"/>
        <v>0.6</v>
      </c>
      <c r="G110" s="43">
        <v>85.25</v>
      </c>
      <c r="H110" s="41" t="e">
        <f t="shared" si="49"/>
        <v>#VALUE!</v>
      </c>
      <c r="I110" s="51">
        <f t="shared" si="50"/>
        <v>0.6</v>
      </c>
      <c r="J110" s="42">
        <f t="shared" si="51"/>
        <v>1352.054409846213</v>
      </c>
      <c r="K110" s="42">
        <f t="shared" si="31"/>
        <v>1268.9174491897988</v>
      </c>
      <c r="L110" s="45" t="e">
        <f t="shared" si="52"/>
        <v>#VALUE!</v>
      </c>
      <c r="M110" s="45" t="e">
        <f t="shared" si="53"/>
        <v>#VALUE!</v>
      </c>
      <c r="N110" s="45" t="e">
        <f t="shared" si="40"/>
        <v>#VALUE!</v>
      </c>
      <c r="O110" s="45" t="e">
        <f t="shared" si="41"/>
        <v>#VALUE!</v>
      </c>
      <c r="P110" s="45" t="e">
        <f t="shared" si="41"/>
        <v>#VALUE!</v>
      </c>
      <c r="Q110" s="45" t="e">
        <f t="shared" si="54"/>
        <v>#VALUE!</v>
      </c>
      <c r="R110" s="45" t="e">
        <f t="shared" si="42"/>
        <v>#VALUE!</v>
      </c>
      <c r="S110" s="45" t="e">
        <f t="shared" si="55"/>
        <v>#VALUE!</v>
      </c>
      <c r="T110" s="53">
        <v>83.136960656414203</v>
      </c>
      <c r="U110" s="45" t="e">
        <f t="shared" si="43"/>
        <v>#VALUE!</v>
      </c>
      <c r="V110" s="45" t="e">
        <f t="shared" si="44"/>
        <v>#VALUE!</v>
      </c>
      <c r="W110" s="45" t="e">
        <f t="shared" si="45"/>
        <v>#VALUE!</v>
      </c>
      <c r="X110" s="45" t="e">
        <f t="shared" si="32"/>
        <v>#VALUE!</v>
      </c>
      <c r="Y110" s="47" t="e">
        <f t="shared" si="57"/>
        <v>#VALUE!</v>
      </c>
      <c r="Z110" s="45">
        <f t="shared" si="33"/>
        <v>40.387463006220713</v>
      </c>
      <c r="AA110" s="49" t="e">
        <f t="shared" si="34"/>
        <v>#VALUE!</v>
      </c>
      <c r="AB110" s="45" t="e">
        <f t="shared" si="35"/>
        <v>#VALUE!</v>
      </c>
      <c r="AC110" s="48" t="e">
        <f t="shared" si="36"/>
        <v>#VALUE!</v>
      </c>
      <c r="AD110" s="48">
        <f t="shared" si="56"/>
        <v>4.1090909090909085</v>
      </c>
      <c r="AE110" s="48" t="e">
        <f t="shared" si="37"/>
        <v>#VALUE!</v>
      </c>
      <c r="AF110" s="48" t="e">
        <f t="shared" si="58"/>
        <v>#VALUE!</v>
      </c>
    </row>
    <row r="111" spans="1:32" x14ac:dyDescent="0.35">
      <c r="A111" s="40">
        <f t="shared" si="46"/>
        <v>-73</v>
      </c>
      <c r="B111" s="41">
        <f t="shared" si="38"/>
        <v>64.327272727272714</v>
      </c>
      <c r="C111" s="41" t="e">
        <f t="shared" si="39"/>
        <v>#VALUE!</v>
      </c>
      <c r="D111" s="41" t="e">
        <f t="shared" si="30"/>
        <v>#VALUE!</v>
      </c>
      <c r="E111" s="41" t="e">
        <f t="shared" si="47"/>
        <v>#VALUE!</v>
      </c>
      <c r="F111" s="43">
        <f t="shared" si="48"/>
        <v>0.6</v>
      </c>
      <c r="G111" s="43">
        <v>86.25</v>
      </c>
      <c r="H111" s="41" t="e">
        <f t="shared" si="49"/>
        <v>#VALUE!</v>
      </c>
      <c r="I111" s="51">
        <f t="shared" si="50"/>
        <v>0.6</v>
      </c>
      <c r="J111" s="42">
        <f t="shared" si="51"/>
        <v>1268.9174491897988</v>
      </c>
      <c r="K111" s="42">
        <f t="shared" si="31"/>
        <v>1184.7804885333846</v>
      </c>
      <c r="L111" s="45" t="e">
        <f t="shared" si="52"/>
        <v>#VALUE!</v>
      </c>
      <c r="M111" s="45" t="e">
        <f t="shared" si="53"/>
        <v>#VALUE!</v>
      </c>
      <c r="N111" s="45" t="e">
        <f t="shared" si="40"/>
        <v>#VALUE!</v>
      </c>
      <c r="O111" s="45" t="e">
        <f t="shared" si="41"/>
        <v>#VALUE!</v>
      </c>
      <c r="P111" s="45" t="e">
        <f t="shared" si="41"/>
        <v>#VALUE!</v>
      </c>
      <c r="Q111" s="45" t="e">
        <f t="shared" si="54"/>
        <v>#VALUE!</v>
      </c>
      <c r="R111" s="45" t="e">
        <f t="shared" si="42"/>
        <v>#VALUE!</v>
      </c>
      <c r="S111" s="45" t="e">
        <f t="shared" si="55"/>
        <v>#VALUE!</v>
      </c>
      <c r="T111" s="53">
        <v>84.136960656414203</v>
      </c>
      <c r="U111" s="45" t="e">
        <f t="shared" si="43"/>
        <v>#VALUE!</v>
      </c>
      <c r="V111" s="45" t="e">
        <f t="shared" si="44"/>
        <v>#VALUE!</v>
      </c>
      <c r="W111" s="45" t="e">
        <f t="shared" si="45"/>
        <v>#VALUE!</v>
      </c>
      <c r="X111" s="45" t="e">
        <f t="shared" si="32"/>
        <v>#VALUE!</v>
      </c>
      <c r="Y111" s="47" t="e">
        <f t="shared" si="57"/>
        <v>#VALUE!</v>
      </c>
      <c r="Z111" s="45">
        <f t="shared" si="33"/>
        <v>40.629634112047412</v>
      </c>
      <c r="AA111" s="49" t="e">
        <f t="shared" si="34"/>
        <v>#VALUE!</v>
      </c>
      <c r="AB111" s="45" t="e">
        <f t="shared" si="35"/>
        <v>#VALUE!</v>
      </c>
      <c r="AC111" s="48" t="e">
        <f t="shared" si="36"/>
        <v>#VALUE!</v>
      </c>
      <c r="AD111" s="48">
        <f t="shared" si="56"/>
        <v>4.1090909090909085</v>
      </c>
      <c r="AE111" s="48" t="e">
        <f t="shared" si="37"/>
        <v>#VALUE!</v>
      </c>
      <c r="AF111" s="48" t="e">
        <f t="shared" si="58"/>
        <v>#VALUE!</v>
      </c>
    </row>
    <row r="112" spans="1:32" x14ac:dyDescent="0.35">
      <c r="A112" s="40">
        <f t="shared" si="46"/>
        <v>-74</v>
      </c>
      <c r="B112" s="41">
        <f t="shared" si="38"/>
        <v>59.818181818181799</v>
      </c>
      <c r="C112" s="41" t="e">
        <f t="shared" si="39"/>
        <v>#VALUE!</v>
      </c>
      <c r="D112" s="41" t="e">
        <f t="shared" si="30"/>
        <v>#VALUE!</v>
      </c>
      <c r="E112" s="41" t="e">
        <f t="shared" si="47"/>
        <v>#VALUE!</v>
      </c>
      <c r="F112" s="43">
        <f t="shared" si="48"/>
        <v>0.6</v>
      </c>
      <c r="G112" s="43">
        <v>87.25</v>
      </c>
      <c r="H112" s="41" t="e">
        <f t="shared" si="49"/>
        <v>#VALUE!</v>
      </c>
      <c r="I112" s="51">
        <f t="shared" si="50"/>
        <v>0.6</v>
      </c>
      <c r="J112" s="42">
        <f t="shared" si="51"/>
        <v>1184.7804885333846</v>
      </c>
      <c r="K112" s="42">
        <f t="shared" si="31"/>
        <v>1099.6435278769704</v>
      </c>
      <c r="L112" s="45" t="e">
        <f t="shared" si="52"/>
        <v>#VALUE!</v>
      </c>
      <c r="M112" s="45" t="e">
        <f t="shared" si="53"/>
        <v>#VALUE!</v>
      </c>
      <c r="N112" s="45" t="e">
        <f t="shared" si="40"/>
        <v>#VALUE!</v>
      </c>
      <c r="O112" s="45" t="e">
        <f t="shared" si="41"/>
        <v>#VALUE!</v>
      </c>
      <c r="P112" s="45" t="e">
        <f t="shared" si="41"/>
        <v>#VALUE!</v>
      </c>
      <c r="Q112" s="45" t="e">
        <f t="shared" si="54"/>
        <v>#VALUE!</v>
      </c>
      <c r="R112" s="45" t="e">
        <f t="shared" si="42"/>
        <v>#VALUE!</v>
      </c>
      <c r="S112" s="45" t="e">
        <f t="shared" si="55"/>
        <v>#VALUE!</v>
      </c>
      <c r="T112" s="53">
        <v>85.136960656414203</v>
      </c>
      <c r="U112" s="45" t="e">
        <f t="shared" si="43"/>
        <v>#VALUE!</v>
      </c>
      <c r="V112" s="45" t="e">
        <f t="shared" si="44"/>
        <v>#VALUE!</v>
      </c>
      <c r="W112" s="45" t="e">
        <f t="shared" si="45"/>
        <v>#VALUE!</v>
      </c>
      <c r="X112" s="45" t="e">
        <f t="shared" si="32"/>
        <v>#VALUE!</v>
      </c>
      <c r="Y112" s="47" t="e">
        <f t="shared" si="57"/>
        <v>#VALUE!</v>
      </c>
      <c r="Z112" s="45">
        <f t="shared" si="33"/>
        <v>40.87037029534779</v>
      </c>
      <c r="AA112" s="49" t="e">
        <f t="shared" si="34"/>
        <v>#VALUE!</v>
      </c>
      <c r="AB112" s="45" t="e">
        <f t="shared" si="35"/>
        <v>#VALUE!</v>
      </c>
      <c r="AC112" s="48" t="e">
        <f t="shared" si="36"/>
        <v>#VALUE!</v>
      </c>
      <c r="AD112" s="48">
        <f t="shared" si="56"/>
        <v>4.1090909090909085</v>
      </c>
      <c r="AE112" s="48" t="e">
        <f t="shared" si="37"/>
        <v>#VALUE!</v>
      </c>
      <c r="AF112" s="48" t="e">
        <f t="shared" si="58"/>
        <v>#VALUE!</v>
      </c>
    </row>
    <row r="113" spans="1:32" x14ac:dyDescent="0.35">
      <c r="A113" s="40">
        <f t="shared" si="46"/>
        <v>-75</v>
      </c>
      <c r="B113" s="41">
        <f t="shared" si="38"/>
        <v>55.309090909090891</v>
      </c>
      <c r="C113" s="41" t="e">
        <f t="shared" si="39"/>
        <v>#VALUE!</v>
      </c>
      <c r="D113" s="41" t="e">
        <f t="shared" si="30"/>
        <v>#VALUE!</v>
      </c>
      <c r="E113" s="41" t="e">
        <f t="shared" si="47"/>
        <v>#VALUE!</v>
      </c>
      <c r="F113" s="43">
        <f t="shared" si="48"/>
        <v>0.6</v>
      </c>
      <c r="G113" s="43">
        <v>88.25</v>
      </c>
      <c r="H113" s="41" t="e">
        <f t="shared" si="49"/>
        <v>#VALUE!</v>
      </c>
      <c r="I113" s="51">
        <f t="shared" si="50"/>
        <v>0.6</v>
      </c>
      <c r="J113" s="42">
        <f t="shared" si="51"/>
        <v>1099.6435278769704</v>
      </c>
      <c r="K113" s="42">
        <f t="shared" si="31"/>
        <v>1013.5065672205562</v>
      </c>
      <c r="L113" s="45" t="e">
        <f t="shared" si="52"/>
        <v>#VALUE!</v>
      </c>
      <c r="M113" s="45" t="e">
        <f t="shared" si="53"/>
        <v>#VALUE!</v>
      </c>
      <c r="N113" s="45" t="e">
        <f t="shared" si="40"/>
        <v>#VALUE!</v>
      </c>
      <c r="O113" s="45" t="e">
        <f t="shared" si="41"/>
        <v>#VALUE!</v>
      </c>
      <c r="P113" s="45" t="e">
        <f t="shared" si="41"/>
        <v>#VALUE!</v>
      </c>
      <c r="Q113" s="45" t="e">
        <f t="shared" si="54"/>
        <v>#VALUE!</v>
      </c>
      <c r="R113" s="45" t="e">
        <f t="shared" si="42"/>
        <v>#VALUE!</v>
      </c>
      <c r="S113" s="45" t="e">
        <f t="shared" si="55"/>
        <v>#VALUE!</v>
      </c>
      <c r="T113" s="53">
        <v>86.136960656414203</v>
      </c>
      <c r="U113" s="45" t="e">
        <f t="shared" si="43"/>
        <v>#VALUE!</v>
      </c>
      <c r="V113" s="45" t="e">
        <f t="shared" si="44"/>
        <v>#VALUE!</v>
      </c>
      <c r="W113" s="45" t="e">
        <f t="shared" si="45"/>
        <v>#VALUE!</v>
      </c>
      <c r="X113" s="45" t="e">
        <f t="shared" si="32"/>
        <v>#VALUE!</v>
      </c>
      <c r="Y113" s="47" t="e">
        <f t="shared" si="57"/>
        <v>#VALUE!</v>
      </c>
      <c r="Z113" s="45">
        <f t="shared" si="33"/>
        <v>41.109696764618036</v>
      </c>
      <c r="AA113" s="49" t="e">
        <f t="shared" si="34"/>
        <v>#VALUE!</v>
      </c>
      <c r="AB113" s="45" t="e">
        <f t="shared" si="35"/>
        <v>#VALUE!</v>
      </c>
      <c r="AC113" s="48" t="e">
        <f t="shared" si="36"/>
        <v>#VALUE!</v>
      </c>
      <c r="AD113" s="48">
        <f t="shared" si="56"/>
        <v>4.1090909090909085</v>
      </c>
      <c r="AE113" s="48" t="e">
        <f t="shared" si="37"/>
        <v>#VALUE!</v>
      </c>
      <c r="AF113" s="48" t="e">
        <f t="shared" si="58"/>
        <v>#VALUE!</v>
      </c>
    </row>
    <row r="114" spans="1:32" x14ac:dyDescent="0.35">
      <c r="A114" s="40">
        <f t="shared" si="46"/>
        <v>-76</v>
      </c>
      <c r="B114" s="41">
        <f t="shared" si="38"/>
        <v>50.799999999999983</v>
      </c>
      <c r="C114" s="41" t="e">
        <f t="shared" si="39"/>
        <v>#VALUE!</v>
      </c>
      <c r="D114" s="41" t="e">
        <f t="shared" si="30"/>
        <v>#VALUE!</v>
      </c>
      <c r="E114" s="41" t="e">
        <f t="shared" si="47"/>
        <v>#VALUE!</v>
      </c>
      <c r="F114" s="43">
        <f t="shared" si="48"/>
        <v>0.6</v>
      </c>
      <c r="G114" s="43">
        <v>89.25</v>
      </c>
      <c r="H114" s="41" t="e">
        <f t="shared" si="49"/>
        <v>#VALUE!</v>
      </c>
      <c r="I114" s="51">
        <f t="shared" si="50"/>
        <v>0.6</v>
      </c>
      <c r="J114" s="42">
        <f t="shared" si="51"/>
        <v>1013.5065672205562</v>
      </c>
      <c r="K114" s="42">
        <f t="shared" si="31"/>
        <v>926.36960656414203</v>
      </c>
      <c r="L114" s="45" t="e">
        <f t="shared" si="52"/>
        <v>#VALUE!</v>
      </c>
      <c r="M114" s="45" t="e">
        <f t="shared" si="53"/>
        <v>#VALUE!</v>
      </c>
      <c r="N114" s="45" t="e">
        <f t="shared" si="40"/>
        <v>#VALUE!</v>
      </c>
      <c r="O114" s="45" t="e">
        <f t="shared" si="41"/>
        <v>#VALUE!</v>
      </c>
      <c r="P114" s="45" t="e">
        <f t="shared" si="41"/>
        <v>#VALUE!</v>
      </c>
      <c r="Q114" s="45" t="e">
        <f t="shared" si="54"/>
        <v>#VALUE!</v>
      </c>
      <c r="R114" s="45" t="e">
        <f t="shared" si="42"/>
        <v>#VALUE!</v>
      </c>
      <c r="S114" s="45" t="e">
        <f t="shared" si="55"/>
        <v>#VALUE!</v>
      </c>
      <c r="T114" s="53">
        <v>87.136960656414203</v>
      </c>
      <c r="U114" s="45" t="e">
        <f t="shared" si="43"/>
        <v>#VALUE!</v>
      </c>
      <c r="V114" s="45" t="e">
        <f t="shared" si="44"/>
        <v>#VALUE!</v>
      </c>
      <c r="W114" s="45" t="e">
        <f t="shared" si="45"/>
        <v>#VALUE!</v>
      </c>
      <c r="X114" s="45" t="e">
        <f t="shared" si="32"/>
        <v>#VALUE!</v>
      </c>
      <c r="Y114" s="47" t="e">
        <f t="shared" si="57"/>
        <v>#VALUE!</v>
      </c>
      <c r="Z114" s="45">
        <f t="shared" si="33"/>
        <v>41.347637998788358</v>
      </c>
      <c r="AA114" s="49" t="e">
        <f t="shared" si="34"/>
        <v>#VALUE!</v>
      </c>
      <c r="AB114" s="45" t="e">
        <f t="shared" si="35"/>
        <v>#VALUE!</v>
      </c>
      <c r="AC114" s="48" t="e">
        <f t="shared" si="36"/>
        <v>#VALUE!</v>
      </c>
      <c r="AD114" s="48">
        <f t="shared" si="56"/>
        <v>4.1090909090909085</v>
      </c>
      <c r="AE114" s="48" t="e">
        <f t="shared" si="37"/>
        <v>#VALUE!</v>
      </c>
      <c r="AF114" s="48" t="e">
        <f t="shared" si="58"/>
        <v>#VALUE!</v>
      </c>
    </row>
    <row r="115" spans="1:32" x14ac:dyDescent="0.35">
      <c r="A115" s="40">
        <f t="shared" si="46"/>
        <v>-77</v>
      </c>
      <c r="B115" s="41">
        <f t="shared" si="38"/>
        <v>46.290909090909075</v>
      </c>
      <c r="C115" s="41" t="e">
        <f t="shared" si="39"/>
        <v>#VALUE!</v>
      </c>
      <c r="D115" s="41" t="e">
        <f t="shared" si="30"/>
        <v>#VALUE!</v>
      </c>
      <c r="E115" s="41" t="e">
        <f t="shared" si="47"/>
        <v>#VALUE!</v>
      </c>
      <c r="F115" s="43">
        <f t="shared" si="48"/>
        <v>0.6</v>
      </c>
      <c r="G115" s="43">
        <v>90.25</v>
      </c>
      <c r="H115" s="41" t="e">
        <f t="shared" si="49"/>
        <v>#VALUE!</v>
      </c>
      <c r="I115" s="51">
        <f t="shared" si="50"/>
        <v>0.6</v>
      </c>
      <c r="J115" s="42">
        <f t="shared" si="51"/>
        <v>926.36960656414203</v>
      </c>
      <c r="K115" s="42">
        <f t="shared" si="31"/>
        <v>838.23264590772783</v>
      </c>
      <c r="L115" s="45" t="e">
        <f t="shared" si="52"/>
        <v>#VALUE!</v>
      </c>
      <c r="M115" s="45" t="e">
        <f t="shared" si="53"/>
        <v>#VALUE!</v>
      </c>
      <c r="N115" s="45" t="e">
        <f t="shared" si="40"/>
        <v>#VALUE!</v>
      </c>
      <c r="O115" s="45" t="e">
        <f t="shared" si="41"/>
        <v>#VALUE!</v>
      </c>
      <c r="P115" s="45" t="e">
        <f t="shared" si="41"/>
        <v>#VALUE!</v>
      </c>
      <c r="Q115" s="45" t="e">
        <f t="shared" si="54"/>
        <v>#VALUE!</v>
      </c>
      <c r="R115" s="45" t="e">
        <f t="shared" si="42"/>
        <v>#VALUE!</v>
      </c>
      <c r="S115" s="45" t="e">
        <f t="shared" si="55"/>
        <v>#VALUE!</v>
      </c>
      <c r="T115" s="53">
        <v>88.136960656414203</v>
      </c>
      <c r="U115" s="45" t="e">
        <f t="shared" si="43"/>
        <v>#VALUE!</v>
      </c>
      <c r="V115" s="45" t="e">
        <f t="shared" si="44"/>
        <v>#VALUE!</v>
      </c>
      <c r="W115" s="45" t="e">
        <f t="shared" si="45"/>
        <v>#VALUE!</v>
      </c>
      <c r="X115" s="45" t="e">
        <f t="shared" si="32"/>
        <v>#VALUE!</v>
      </c>
      <c r="Y115" s="47" t="e">
        <f t="shared" si="57"/>
        <v>#VALUE!</v>
      </c>
      <c r="Z115" s="45">
        <f t="shared" si="33"/>
        <v>41.584217776445506</v>
      </c>
      <c r="AA115" s="49" t="e">
        <f t="shared" si="34"/>
        <v>#VALUE!</v>
      </c>
      <c r="AB115" s="45" t="e">
        <f t="shared" si="35"/>
        <v>#VALUE!</v>
      </c>
      <c r="AC115" s="48" t="e">
        <f t="shared" si="36"/>
        <v>#VALUE!</v>
      </c>
      <c r="AD115" s="48">
        <f t="shared" si="56"/>
        <v>4.1090909090909085</v>
      </c>
      <c r="AE115" s="48" t="e">
        <f t="shared" si="37"/>
        <v>#VALUE!</v>
      </c>
      <c r="AF115" s="48" t="e">
        <f t="shared" si="58"/>
        <v>#VALUE!</v>
      </c>
    </row>
    <row r="116" spans="1:32" x14ac:dyDescent="0.35">
      <c r="A116" s="40">
        <f t="shared" si="46"/>
        <v>-78</v>
      </c>
      <c r="B116" s="41">
        <f t="shared" si="38"/>
        <v>41.781818181818167</v>
      </c>
      <c r="C116" s="41" t="e">
        <f t="shared" si="39"/>
        <v>#VALUE!</v>
      </c>
      <c r="D116" s="41" t="e">
        <f t="shared" si="30"/>
        <v>#VALUE!</v>
      </c>
      <c r="E116" s="41" t="e">
        <f t="shared" si="47"/>
        <v>#VALUE!</v>
      </c>
      <c r="F116" s="43">
        <f t="shared" si="48"/>
        <v>0.6</v>
      </c>
      <c r="G116" s="43">
        <v>91.25</v>
      </c>
      <c r="H116" s="41" t="e">
        <f t="shared" si="49"/>
        <v>#VALUE!</v>
      </c>
      <c r="I116" s="51">
        <f t="shared" si="50"/>
        <v>0.6</v>
      </c>
      <c r="J116" s="42">
        <f t="shared" si="51"/>
        <v>838.23264590772783</v>
      </c>
      <c r="K116" s="42">
        <f t="shared" si="31"/>
        <v>749.09568525131363</v>
      </c>
      <c r="L116" s="45" t="e">
        <f t="shared" si="52"/>
        <v>#VALUE!</v>
      </c>
      <c r="M116" s="45" t="e">
        <f t="shared" si="53"/>
        <v>#VALUE!</v>
      </c>
      <c r="N116" s="45" t="e">
        <f t="shared" si="40"/>
        <v>#VALUE!</v>
      </c>
      <c r="O116" s="45" t="e">
        <f t="shared" si="41"/>
        <v>#VALUE!</v>
      </c>
      <c r="P116" s="45" t="e">
        <f t="shared" si="41"/>
        <v>#VALUE!</v>
      </c>
      <c r="Q116" s="45" t="e">
        <f t="shared" si="54"/>
        <v>#VALUE!</v>
      </c>
      <c r="R116" s="45" t="e">
        <f t="shared" si="42"/>
        <v>#VALUE!</v>
      </c>
      <c r="S116" s="45" t="e">
        <f t="shared" si="55"/>
        <v>#VALUE!</v>
      </c>
      <c r="T116" s="53">
        <v>89.136960656414203</v>
      </c>
      <c r="U116" s="45" t="e">
        <f t="shared" si="43"/>
        <v>#VALUE!</v>
      </c>
      <c r="V116" s="45" t="e">
        <f t="shared" si="44"/>
        <v>#VALUE!</v>
      </c>
      <c r="W116" s="45" t="e">
        <f t="shared" si="45"/>
        <v>#VALUE!</v>
      </c>
      <c r="X116" s="45" t="e">
        <f t="shared" si="32"/>
        <v>#VALUE!</v>
      </c>
      <c r="Y116" s="47" t="e">
        <f t="shared" si="57"/>
        <v>#VALUE!</v>
      </c>
      <c r="Z116" s="45">
        <f t="shared" si="33"/>
        <v>41.819459203567504</v>
      </c>
      <c r="AA116" s="49" t="e">
        <f t="shared" si="34"/>
        <v>#VALUE!</v>
      </c>
      <c r="AB116" s="45" t="e">
        <f t="shared" si="35"/>
        <v>#VALUE!</v>
      </c>
      <c r="AC116" s="48" t="e">
        <f t="shared" si="36"/>
        <v>#VALUE!</v>
      </c>
      <c r="AD116" s="48">
        <f t="shared" si="56"/>
        <v>4.1090909090909085</v>
      </c>
      <c r="AE116" s="48" t="e">
        <f t="shared" si="37"/>
        <v>#VALUE!</v>
      </c>
      <c r="AF116" s="48" t="e">
        <f t="shared" si="58"/>
        <v>#VALUE!</v>
      </c>
    </row>
    <row r="117" spans="1:32" x14ac:dyDescent="0.35">
      <c r="A117" s="40">
        <f t="shared" si="46"/>
        <v>-79</v>
      </c>
      <c r="B117" s="41">
        <f t="shared" si="38"/>
        <v>37.272727272727259</v>
      </c>
      <c r="C117" s="41" t="e">
        <f t="shared" si="39"/>
        <v>#VALUE!</v>
      </c>
      <c r="D117" s="41" t="e">
        <f t="shared" si="30"/>
        <v>#VALUE!</v>
      </c>
      <c r="E117" s="41" t="e">
        <f t="shared" si="47"/>
        <v>#VALUE!</v>
      </c>
      <c r="F117" s="43">
        <f t="shared" si="48"/>
        <v>0.6</v>
      </c>
      <c r="G117" s="43">
        <v>92.25</v>
      </c>
      <c r="H117" s="41" t="e">
        <f t="shared" si="49"/>
        <v>#VALUE!</v>
      </c>
      <c r="I117" s="51">
        <f t="shared" si="50"/>
        <v>0.6</v>
      </c>
      <c r="J117" s="42">
        <f t="shared" si="51"/>
        <v>749.09568525131363</v>
      </c>
      <c r="K117" s="42">
        <f t="shared" si="31"/>
        <v>658.95872459489942</v>
      </c>
      <c r="L117" s="45" t="e">
        <f t="shared" si="52"/>
        <v>#VALUE!</v>
      </c>
      <c r="M117" s="45" t="e">
        <f t="shared" si="53"/>
        <v>#VALUE!</v>
      </c>
      <c r="N117" s="45" t="e">
        <f t="shared" si="40"/>
        <v>#VALUE!</v>
      </c>
      <c r="O117" s="45" t="e">
        <f t="shared" si="41"/>
        <v>#VALUE!</v>
      </c>
      <c r="P117" s="45" t="e">
        <f t="shared" si="41"/>
        <v>#VALUE!</v>
      </c>
      <c r="Q117" s="45" t="e">
        <f t="shared" si="54"/>
        <v>#VALUE!</v>
      </c>
      <c r="R117" s="45" t="e">
        <f t="shared" si="42"/>
        <v>#VALUE!</v>
      </c>
      <c r="S117" s="45" t="e">
        <f t="shared" si="55"/>
        <v>#VALUE!</v>
      </c>
      <c r="T117" s="53">
        <v>90.136960656414203</v>
      </c>
      <c r="U117" s="45" t="e">
        <f t="shared" si="43"/>
        <v>#VALUE!</v>
      </c>
      <c r="V117" s="45" t="e">
        <f t="shared" si="44"/>
        <v>#VALUE!</v>
      </c>
      <c r="W117" s="45" t="e">
        <f t="shared" si="45"/>
        <v>#VALUE!</v>
      </c>
      <c r="X117" s="45" t="e">
        <f t="shared" si="32"/>
        <v>#VALUE!</v>
      </c>
      <c r="Y117" s="47" t="e">
        <f t="shared" si="57"/>
        <v>#VALUE!</v>
      </c>
      <c r="Z117" s="45">
        <f t="shared" si="33"/>
        <v>42.053384739861862</v>
      </c>
      <c r="AA117" s="49" t="e">
        <f t="shared" si="34"/>
        <v>#VALUE!</v>
      </c>
      <c r="AB117" s="45" t="e">
        <f t="shared" si="35"/>
        <v>#VALUE!</v>
      </c>
      <c r="AC117" s="48" t="e">
        <f t="shared" si="36"/>
        <v>#VALUE!</v>
      </c>
      <c r="AD117" s="48">
        <f t="shared" si="56"/>
        <v>4.1090909090909085</v>
      </c>
      <c r="AE117" s="48" t="e">
        <f t="shared" si="37"/>
        <v>#VALUE!</v>
      </c>
      <c r="AF117" s="48" t="e">
        <f t="shared" si="58"/>
        <v>#VALUE!</v>
      </c>
    </row>
    <row r="118" spans="1:32" x14ac:dyDescent="0.35">
      <c r="A118" s="40">
        <f t="shared" si="46"/>
        <v>-80</v>
      </c>
      <c r="B118" s="41">
        <f t="shared" si="38"/>
        <v>32.763636363636351</v>
      </c>
      <c r="C118" s="41" t="e">
        <f t="shared" si="39"/>
        <v>#VALUE!</v>
      </c>
      <c r="D118" s="41" t="e">
        <f t="shared" si="30"/>
        <v>#VALUE!</v>
      </c>
      <c r="E118" s="41" t="e">
        <f t="shared" si="47"/>
        <v>#VALUE!</v>
      </c>
      <c r="F118" s="43">
        <f t="shared" si="48"/>
        <v>0.6</v>
      </c>
      <c r="G118" s="43">
        <v>93.25</v>
      </c>
      <c r="H118" s="41" t="e">
        <f t="shared" si="49"/>
        <v>#VALUE!</v>
      </c>
      <c r="I118" s="51">
        <f t="shared" si="50"/>
        <v>0.6</v>
      </c>
      <c r="J118" s="42">
        <f t="shared" si="51"/>
        <v>658.95872459489942</v>
      </c>
      <c r="K118" s="42">
        <f t="shared" si="31"/>
        <v>567.82176393848522</v>
      </c>
      <c r="L118" s="45" t="e">
        <f t="shared" si="52"/>
        <v>#VALUE!</v>
      </c>
      <c r="M118" s="45" t="e">
        <f t="shared" si="53"/>
        <v>#VALUE!</v>
      </c>
      <c r="N118" s="45" t="e">
        <f t="shared" si="40"/>
        <v>#VALUE!</v>
      </c>
      <c r="O118" s="45" t="e">
        <f t="shared" si="41"/>
        <v>#VALUE!</v>
      </c>
      <c r="P118" s="45" t="e">
        <f t="shared" si="41"/>
        <v>#VALUE!</v>
      </c>
      <c r="Q118" s="45" t="e">
        <f t="shared" si="54"/>
        <v>#VALUE!</v>
      </c>
      <c r="R118" s="45" t="e">
        <f t="shared" si="42"/>
        <v>#VALUE!</v>
      </c>
      <c r="S118" s="45" t="e">
        <f t="shared" si="55"/>
        <v>#VALUE!</v>
      </c>
      <c r="T118" s="53">
        <v>91.136960656414203</v>
      </c>
      <c r="U118" s="45" t="e">
        <f t="shared" si="43"/>
        <v>#VALUE!</v>
      </c>
      <c r="V118" s="45" t="e">
        <f t="shared" si="44"/>
        <v>#VALUE!</v>
      </c>
      <c r="W118" s="45" t="e">
        <f t="shared" si="45"/>
        <v>#VALUE!</v>
      </c>
      <c r="X118" s="45" t="e">
        <f t="shared" si="32"/>
        <v>#VALUE!</v>
      </c>
      <c r="Y118" s="47" t="e">
        <f t="shared" si="57"/>
        <v>#VALUE!</v>
      </c>
      <c r="Z118" s="45">
        <f t="shared" si="33"/>
        <v>42.286016223792551</v>
      </c>
      <c r="AA118" s="49" t="e">
        <f t="shared" si="34"/>
        <v>#VALUE!</v>
      </c>
      <c r="AB118" s="45" t="e">
        <f t="shared" si="35"/>
        <v>#VALUE!</v>
      </c>
      <c r="AC118" s="48" t="e">
        <f t="shared" si="36"/>
        <v>#VALUE!</v>
      </c>
      <c r="AD118" s="48">
        <f t="shared" si="56"/>
        <v>4.1090909090909085</v>
      </c>
      <c r="AE118" s="48" t="e">
        <f t="shared" si="37"/>
        <v>#VALUE!</v>
      </c>
      <c r="AF118" s="48" t="e">
        <f t="shared" si="58"/>
        <v>#VALUE!</v>
      </c>
    </row>
    <row r="119" spans="1:32" x14ac:dyDescent="0.35">
      <c r="A119" s="40">
        <f t="shared" si="46"/>
        <v>-81</v>
      </c>
      <c r="B119" s="41">
        <f t="shared" si="38"/>
        <v>28.254545454545447</v>
      </c>
      <c r="C119" s="41" t="e">
        <f t="shared" si="39"/>
        <v>#VALUE!</v>
      </c>
      <c r="D119" s="41" t="e">
        <f t="shared" si="30"/>
        <v>#VALUE!</v>
      </c>
      <c r="E119" s="41" t="e">
        <f t="shared" si="47"/>
        <v>#VALUE!</v>
      </c>
      <c r="F119" s="43">
        <f t="shared" si="48"/>
        <v>0.6</v>
      </c>
      <c r="G119" s="43">
        <v>94.25</v>
      </c>
      <c r="H119" s="41" t="e">
        <f t="shared" si="49"/>
        <v>#VALUE!</v>
      </c>
      <c r="I119" s="51">
        <f t="shared" si="50"/>
        <v>0.6</v>
      </c>
      <c r="J119" s="42">
        <f t="shared" si="51"/>
        <v>567.82176393848522</v>
      </c>
      <c r="K119" s="42">
        <f t="shared" si="31"/>
        <v>475.68480328207102</v>
      </c>
      <c r="L119" s="45" t="e">
        <f t="shared" si="52"/>
        <v>#VALUE!</v>
      </c>
      <c r="M119" s="45" t="e">
        <f t="shared" si="53"/>
        <v>#VALUE!</v>
      </c>
      <c r="N119" s="45" t="e">
        <f t="shared" si="40"/>
        <v>#VALUE!</v>
      </c>
      <c r="O119" s="45" t="e">
        <f t="shared" si="41"/>
        <v>#VALUE!</v>
      </c>
      <c r="P119" s="45" t="e">
        <f t="shared" si="41"/>
        <v>#VALUE!</v>
      </c>
      <c r="Q119" s="45" t="e">
        <f t="shared" si="54"/>
        <v>#VALUE!</v>
      </c>
      <c r="R119" s="45" t="e">
        <f t="shared" si="42"/>
        <v>#VALUE!</v>
      </c>
      <c r="S119" s="45" t="e">
        <f t="shared" si="55"/>
        <v>#VALUE!</v>
      </c>
      <c r="T119" s="53">
        <v>92.136960656414203</v>
      </c>
      <c r="U119" s="45" t="e">
        <f t="shared" si="43"/>
        <v>#VALUE!</v>
      </c>
      <c r="V119" s="45" t="e">
        <f t="shared" si="44"/>
        <v>#VALUE!</v>
      </c>
      <c r="W119" s="45" t="e">
        <f t="shared" si="45"/>
        <v>#VALUE!</v>
      </c>
      <c r="X119" s="45" t="e">
        <f t="shared" si="32"/>
        <v>#VALUE!</v>
      </c>
      <c r="Y119" s="47" t="e">
        <f t="shared" si="57"/>
        <v>#VALUE!</v>
      </c>
      <c r="Z119" s="45">
        <f t="shared" si="33"/>
        <v>42.517374896374385</v>
      </c>
      <c r="AA119" s="49" t="e">
        <f t="shared" si="34"/>
        <v>#VALUE!</v>
      </c>
      <c r="AB119" s="45" t="e">
        <f t="shared" si="35"/>
        <v>#VALUE!</v>
      </c>
      <c r="AC119" s="48" t="e">
        <f t="shared" si="36"/>
        <v>#VALUE!</v>
      </c>
      <c r="AD119" s="48">
        <f t="shared" si="56"/>
        <v>4.1090909090909085</v>
      </c>
      <c r="AE119" s="48" t="e">
        <f t="shared" si="37"/>
        <v>#VALUE!</v>
      </c>
      <c r="AF119" s="48" t="e">
        <f t="shared" si="58"/>
        <v>#VALUE!</v>
      </c>
    </row>
    <row r="120" spans="1:32" x14ac:dyDescent="0.35">
      <c r="A120" s="40">
        <f t="shared" si="46"/>
        <v>-82</v>
      </c>
      <c r="B120" s="41">
        <f t="shared" si="38"/>
        <v>23.745454545454539</v>
      </c>
      <c r="C120" s="41" t="e">
        <f t="shared" si="39"/>
        <v>#VALUE!</v>
      </c>
      <c r="D120" s="41" t="e">
        <f t="shared" si="30"/>
        <v>#VALUE!</v>
      </c>
      <c r="E120" s="41" t="e">
        <f t="shared" si="47"/>
        <v>#VALUE!</v>
      </c>
      <c r="F120" s="54">
        <f t="shared" si="48"/>
        <v>0.6</v>
      </c>
      <c r="G120" s="43">
        <v>95.25</v>
      </c>
      <c r="H120" s="41" t="e">
        <f t="shared" si="49"/>
        <v>#VALUE!</v>
      </c>
      <c r="I120" s="51">
        <f t="shared" si="50"/>
        <v>0.6</v>
      </c>
      <c r="J120" s="42">
        <f t="shared" si="51"/>
        <v>475.68480328207102</v>
      </c>
      <c r="K120" s="42">
        <f t="shared" si="31"/>
        <v>382.54784262565681</v>
      </c>
      <c r="L120" s="45" t="e">
        <f t="shared" si="52"/>
        <v>#VALUE!</v>
      </c>
      <c r="M120" s="45" t="e">
        <f t="shared" si="53"/>
        <v>#VALUE!</v>
      </c>
      <c r="N120" s="45" t="e">
        <f t="shared" si="40"/>
        <v>#VALUE!</v>
      </c>
      <c r="O120" s="45" t="e">
        <f t="shared" si="41"/>
        <v>#VALUE!</v>
      </c>
      <c r="P120" s="45" t="e">
        <f t="shared" si="41"/>
        <v>#VALUE!</v>
      </c>
      <c r="Q120" s="45" t="e">
        <f t="shared" si="54"/>
        <v>#VALUE!</v>
      </c>
      <c r="R120" s="45" t="e">
        <f t="shared" si="42"/>
        <v>#VALUE!</v>
      </c>
      <c r="S120" s="45" t="e">
        <f t="shared" si="55"/>
        <v>#VALUE!</v>
      </c>
      <c r="T120" s="53">
        <v>93.136960656414203</v>
      </c>
      <c r="U120" s="45" t="e">
        <f t="shared" si="43"/>
        <v>#VALUE!</v>
      </c>
      <c r="V120" s="45" t="e">
        <f t="shared" si="44"/>
        <v>#VALUE!</v>
      </c>
      <c r="W120" s="45" t="e">
        <f t="shared" si="45"/>
        <v>#VALUE!</v>
      </c>
      <c r="X120" s="45" t="e">
        <f t="shared" si="32"/>
        <v>#VALUE!</v>
      </c>
      <c r="Y120" s="47" t="e">
        <f t="shared" si="57"/>
        <v>#VALUE!</v>
      </c>
      <c r="Z120" s="45">
        <f t="shared" si="33"/>
        <v>42.747481423808431</v>
      </c>
      <c r="AA120" s="49" t="e">
        <f t="shared" si="34"/>
        <v>#VALUE!</v>
      </c>
      <c r="AB120" s="45" t="e">
        <f t="shared" si="35"/>
        <v>#VALUE!</v>
      </c>
      <c r="AC120" s="48" t="e">
        <f t="shared" si="36"/>
        <v>#VALUE!</v>
      </c>
      <c r="AD120" s="48">
        <f t="shared" si="56"/>
        <v>4.1090909090909085</v>
      </c>
      <c r="AE120" s="48" t="e">
        <f t="shared" si="37"/>
        <v>#VALUE!</v>
      </c>
      <c r="AF120" s="48" t="e">
        <f t="shared" si="58"/>
        <v>#VALUE!</v>
      </c>
    </row>
    <row r="121" spans="1:32" x14ac:dyDescent="0.35">
      <c r="A121" s="40">
        <f t="shared" si="46"/>
        <v>-83</v>
      </c>
      <c r="B121" s="41">
        <f t="shared" si="38"/>
        <v>19.236363636363631</v>
      </c>
      <c r="C121" s="41" t="e">
        <f t="shared" si="39"/>
        <v>#VALUE!</v>
      </c>
      <c r="D121" s="41" t="e">
        <f t="shared" si="30"/>
        <v>#VALUE!</v>
      </c>
      <c r="E121" s="41" t="e">
        <f t="shared" si="47"/>
        <v>#VALUE!</v>
      </c>
      <c r="F121" s="54">
        <f t="shared" si="48"/>
        <v>0.6</v>
      </c>
      <c r="G121" s="43">
        <v>96.25</v>
      </c>
      <c r="H121" s="41" t="e">
        <f t="shared" si="49"/>
        <v>#VALUE!</v>
      </c>
      <c r="I121" s="51">
        <f t="shared" si="50"/>
        <v>0.6</v>
      </c>
      <c r="J121" s="42">
        <f t="shared" si="51"/>
        <v>382.54784262565681</v>
      </c>
      <c r="K121" s="42">
        <f t="shared" si="31"/>
        <v>288.41088196924261</v>
      </c>
      <c r="L121" s="45" t="e">
        <f t="shared" si="52"/>
        <v>#VALUE!</v>
      </c>
      <c r="M121" s="45" t="e">
        <f t="shared" si="53"/>
        <v>#VALUE!</v>
      </c>
      <c r="N121" s="45" t="e">
        <f t="shared" si="40"/>
        <v>#VALUE!</v>
      </c>
      <c r="O121" s="45" t="e">
        <f t="shared" si="41"/>
        <v>#VALUE!</v>
      </c>
      <c r="P121" s="45" t="e">
        <f t="shared" si="41"/>
        <v>#VALUE!</v>
      </c>
      <c r="Q121" s="45" t="e">
        <f t="shared" si="54"/>
        <v>#VALUE!</v>
      </c>
      <c r="R121" s="45" t="e">
        <f t="shared" si="42"/>
        <v>#VALUE!</v>
      </c>
      <c r="S121" s="45" t="e">
        <f>IF(AND(Q121&lt;P121,R121&lt;M121),"okay",IF(OR(Q121&lt;P121,R121&lt;M121),"tlw.okay","nicht okay"))</f>
        <v>#VALUE!</v>
      </c>
      <c r="T121" s="53">
        <v>94.136960656414203</v>
      </c>
      <c r="U121" s="45" t="e">
        <f t="shared" si="43"/>
        <v>#VALUE!</v>
      </c>
      <c r="V121" s="45" t="e">
        <f t="shared" si="44"/>
        <v>#VALUE!</v>
      </c>
      <c r="W121" s="45" t="e">
        <f t="shared" si="45"/>
        <v>#VALUE!</v>
      </c>
      <c r="X121" s="45" t="e">
        <f t="shared" si="32"/>
        <v>#VALUE!</v>
      </c>
      <c r="Y121" s="47" t="e">
        <f t="shared" si="57"/>
        <v>#VALUE!</v>
      </c>
      <c r="Z121" s="45">
        <f t="shared" si="33"/>
        <v>42.976355919026531</v>
      </c>
      <c r="AA121" s="49" t="e">
        <f t="shared" si="34"/>
        <v>#VALUE!</v>
      </c>
      <c r="AB121" s="45" t="e">
        <f t="shared" si="35"/>
        <v>#VALUE!</v>
      </c>
      <c r="AC121" s="48" t="e">
        <f t="shared" si="36"/>
        <v>#VALUE!</v>
      </c>
      <c r="AD121" s="48">
        <f t="shared" si="56"/>
        <v>4.1090909090909085</v>
      </c>
      <c r="AE121" s="48" t="e">
        <f t="shared" si="37"/>
        <v>#VALUE!</v>
      </c>
      <c r="AF121" s="48" t="e">
        <f t="shared" si="58"/>
        <v>#VALUE!</v>
      </c>
    </row>
    <row r="122" spans="1:32" x14ac:dyDescent="0.35">
      <c r="A122" s="40">
        <f t="shared" si="46"/>
        <v>-84</v>
      </c>
      <c r="B122" s="41">
        <f t="shared" si="38"/>
        <v>14.727272727272725</v>
      </c>
      <c r="C122" s="41" t="e">
        <f t="shared" si="39"/>
        <v>#VALUE!</v>
      </c>
      <c r="D122" s="41" t="e">
        <f t="shared" si="30"/>
        <v>#VALUE!</v>
      </c>
      <c r="E122" s="41" t="e">
        <f t="shared" si="47"/>
        <v>#VALUE!</v>
      </c>
      <c r="F122" s="54">
        <f t="shared" si="48"/>
        <v>0.6</v>
      </c>
      <c r="G122" s="43">
        <v>97.25</v>
      </c>
      <c r="H122" s="41" t="e">
        <f t="shared" si="49"/>
        <v>#VALUE!</v>
      </c>
      <c r="I122" s="51">
        <f t="shared" si="50"/>
        <v>0.6</v>
      </c>
      <c r="J122" s="42">
        <f t="shared" si="51"/>
        <v>288.41088196924261</v>
      </c>
      <c r="K122" s="42">
        <f t="shared" si="31"/>
        <v>193.27392131282841</v>
      </c>
      <c r="L122" s="45" t="e">
        <f t="shared" si="52"/>
        <v>#VALUE!</v>
      </c>
      <c r="M122" s="45" t="e">
        <f t="shared" si="53"/>
        <v>#VALUE!</v>
      </c>
      <c r="N122" s="45">
        <f t="shared" si="40"/>
        <v>-3.888888888888889E-2</v>
      </c>
      <c r="O122" s="45"/>
      <c r="P122" s="45"/>
      <c r="Q122" s="45" t="e">
        <f>((Y122-X122)^2/(9.81*$F$15^2))^(1/3)</f>
        <v>#VALUE!</v>
      </c>
      <c r="R122" s="45"/>
      <c r="S122" s="45" t="e">
        <f>IF(AND($F$17=$F$15,$F$16&gt;0),IF(NOT(M122&lt;Q122),"okay","nicht okay"),IF(NOT(P122&lt;Q122),"okay","nicht okay"))</f>
        <v>#VALUE!</v>
      </c>
      <c r="T122" s="53">
        <v>95.136960656414203</v>
      </c>
      <c r="U122" s="45" t="e">
        <f t="shared" si="43"/>
        <v>#VALUE!</v>
      </c>
      <c r="V122" s="45" t="e">
        <f t="shared" si="44"/>
        <v>#DIV/0!</v>
      </c>
      <c r="W122" s="45" t="e">
        <f t="shared" si="45"/>
        <v>#VALUE!</v>
      </c>
      <c r="X122" s="45" t="e">
        <f>IF(J122&gt;E122,SQRT(2*9.81)*SQRT((J122-E122)^3)*F122*G122*W122*2/3,0)</f>
        <v>#VALUE!</v>
      </c>
      <c r="Y122" s="47" t="e">
        <f>L122^(3/2)*SQRT(2*9.81)*$F$17*U122*I122*2/3*$F$22+O122^(3/2)*SQRT(2*9.81)*($F$15-$F$17)*V122*0.55*2/3*$F$22+X122</f>
        <v>#VALUE!</v>
      </c>
      <c r="Z122" s="45">
        <f t="shared" si="33"/>
        <v>43.204017962208638</v>
      </c>
      <c r="AA122" s="49" t="e">
        <f>IF(A122=1," ",9810*T122*Y122/(AC122*AD122))</f>
        <v>#VALUE!</v>
      </c>
      <c r="AB122" s="45" t="e">
        <f t="shared" si="35"/>
        <v>#VALUE!</v>
      </c>
      <c r="AC122" s="48" t="e">
        <f t="shared" si="36"/>
        <v>#VALUE!</v>
      </c>
      <c r="AD122" s="48">
        <f t="shared" si="56"/>
        <v>4.1090909090909085</v>
      </c>
      <c r="AE122" s="48" t="e">
        <f t="shared" si="37"/>
        <v>#VALUE!</v>
      </c>
    </row>
    <row r="123" spans="1:32" x14ac:dyDescent="0.35">
      <c r="A123" s="40">
        <f t="shared" si="46"/>
        <v>-85</v>
      </c>
      <c r="B123" s="41">
        <f t="shared" si="38"/>
        <v>10.218181818181817</v>
      </c>
      <c r="C123" s="41" t="e">
        <f t="shared" si="39"/>
        <v>#VALUE!</v>
      </c>
      <c r="D123" s="41" t="e">
        <f t="shared" si="30"/>
        <v>#VALUE!</v>
      </c>
      <c r="E123" s="50" t="e">
        <f t="shared" si="47"/>
        <v>#VALUE!</v>
      </c>
      <c r="F123" s="54">
        <f t="shared" si="48"/>
        <v>0.6</v>
      </c>
      <c r="G123" s="43">
        <v>98.25</v>
      </c>
      <c r="H123" s="41" t="e">
        <f t="shared" si="49"/>
        <v>#VALUE!</v>
      </c>
      <c r="I123" s="51">
        <f t="shared" si="50"/>
        <v>0.6</v>
      </c>
      <c r="J123" s="42">
        <f t="shared" si="51"/>
        <v>193.27392131282841</v>
      </c>
      <c r="K123" s="42">
        <f t="shared" si="31"/>
        <v>97.136960656414203</v>
      </c>
      <c r="L123" s="45" t="e">
        <f t="shared" si="52"/>
        <v>#VALUE!</v>
      </c>
      <c r="M123" s="45" t="e">
        <f t="shared" si="53"/>
        <v>#VALUE!</v>
      </c>
      <c r="N123" s="45"/>
      <c r="O123" s="45"/>
      <c r="P123" s="45"/>
      <c r="Q123" s="45" t="e">
        <f>((Y123-X123)^2/(9.81*$F$15^2))^(1/3)</f>
        <v>#VALUE!</v>
      </c>
      <c r="R123" s="45"/>
      <c r="S123" s="45" t="e">
        <f>IF(NOT(M123&lt;Q123),"okay","nicht okay")</f>
        <v>#VALUE!</v>
      </c>
      <c r="T123" s="53">
        <v>96.136960656414203</v>
      </c>
      <c r="U123" s="45" t="e">
        <f>IF(M123/L123&lt;0.6,1,IF(M123/L123&gt;1,0,1-(M123/L123)^11))</f>
        <v>#VALUE!</v>
      </c>
      <c r="V123" s="45" t="e">
        <f t="shared" si="44"/>
        <v>#DIV/0!</v>
      </c>
      <c r="W123" s="45" t="e">
        <f>IF((K123-E123)/(J123-E123+0.000001)&lt;0.6,1,IF((K123-E123)/(J123-E123+0.000001)&gt;1,0,1-((K123-E123)/(J123-E123))^11))</f>
        <v>#VALUE!</v>
      </c>
      <c r="X123" s="45" t="e">
        <f>IF(J123&gt;E123,SQRT(2*9.81)*SQRT((J123-E123)^3)*F123*G123*W123*2/3,0)</f>
        <v>#VALUE!</v>
      </c>
      <c r="Y123" s="47" t="e">
        <f>L123^(3/2)*SQRT(2*9.81)*$F$17*U123*I123*2/3*$F$22+O123^(3/2)*SQRT(2*9.81)*($F$15-$F$17)*V123*0.55*2/3*$F$22+X123</f>
        <v>#VALUE!</v>
      </c>
      <c r="Z123" s="45">
        <f t="shared" si="33"/>
        <v>43.430486620332111</v>
      </c>
      <c r="AA123" s="49" t="e">
        <f>IF(A123=1," ",9810*T123*Y123/(AC123*AD123))</f>
        <v>#VALUE!</v>
      </c>
      <c r="AB123" s="45" t="e">
        <f t="shared" si="35"/>
        <v>#VALUE!</v>
      </c>
      <c r="AC123" s="48" t="e">
        <f t="shared" si="36"/>
        <v>#VALUE!</v>
      </c>
      <c r="AD123" s="48">
        <f t="shared" si="56"/>
        <v>4.1090909090909085</v>
      </c>
      <c r="AE123" s="48" t="e">
        <f t="shared" si="37"/>
        <v>#VALUE!</v>
      </c>
    </row>
    <row r="124" spans="1:32" x14ac:dyDescent="0.35">
      <c r="A124" s="40">
        <f t="shared" si="46"/>
        <v>-86</v>
      </c>
      <c r="B124" s="41">
        <f t="shared" si="38"/>
        <v>5.709090909090909</v>
      </c>
      <c r="C124" s="41" t="e">
        <f t="shared" si="39"/>
        <v>#VALUE!</v>
      </c>
      <c r="D124" s="41" t="e">
        <f t="shared" si="30"/>
        <v>#VALUE!</v>
      </c>
      <c r="E124" s="50" t="e">
        <f t="shared" si="47"/>
        <v>#VALUE!</v>
      </c>
      <c r="F124" s="54">
        <f t="shared" si="48"/>
        <v>0.6</v>
      </c>
      <c r="G124" s="43">
        <v>99.25</v>
      </c>
      <c r="H124" s="41" t="e">
        <f t="shared" si="49"/>
        <v>#VALUE!</v>
      </c>
      <c r="I124" s="51">
        <f t="shared" si="50"/>
        <v>0.6</v>
      </c>
      <c r="J124" s="42">
        <f t="shared" si="51"/>
        <v>97.136960656414203</v>
      </c>
      <c r="K124" s="42">
        <f t="shared" si="31"/>
        <v>0</v>
      </c>
      <c r="L124" s="45" t="e">
        <f t="shared" si="52"/>
        <v>#VALUE!</v>
      </c>
      <c r="M124" s="45" t="e">
        <f t="shared" si="53"/>
        <v>#VALUE!</v>
      </c>
      <c r="N124" s="45"/>
      <c r="O124" s="45"/>
      <c r="P124" s="45"/>
      <c r="Q124" s="45" t="e">
        <f>((Y124-X124)^2/(9.81*$F$15^2))^(1/3)</f>
        <v>#VALUE!</v>
      </c>
      <c r="R124" s="45"/>
      <c r="S124" s="45" t="e">
        <f>IF(NOT(M124&lt;Q124),"okay","nicht okay")</f>
        <v>#VALUE!</v>
      </c>
      <c r="T124" s="53">
        <v>97.136960656414203</v>
      </c>
      <c r="U124" s="45" t="e">
        <f>IF(M124/L124&lt;0.6,1,IF(M124/L124&gt;1,0,1-(M124/L124)^11))</f>
        <v>#VALUE!</v>
      </c>
      <c r="V124" s="45"/>
      <c r="W124" s="45" t="e">
        <f>IF((K124-E124)/(J124-E124+0.000001)&lt;0.6,1,IF((K124-E124)/(J124-E124+0.000001)&gt;1,0,1-((K124-E124)/(J124-E124))^11))</f>
        <v>#VALUE!</v>
      </c>
      <c r="X124" s="45" t="e">
        <f>IF(J124&gt;E124,SQRT(2*9.81)*SQRT((J124-E124)^3)*F124*G124*W124*2/3,0)</f>
        <v>#VALUE!</v>
      </c>
      <c r="Y124" s="47" t="e">
        <f>L124^(3/2)*SQRT(2*9.81)*$F$17*U124*I124*2/3*$F$22+O124^(3/2)*SQRT(2*9.81)*($F$15-$F$17)*V124*0.55*2/3*$F$22+X124</f>
        <v>#VALUE!</v>
      </c>
      <c r="Z124" s="45">
        <f t="shared" si="33"/>
        <v>43.65578046580827</v>
      </c>
      <c r="AA124" s="49" t="e">
        <f>IF(A124=1," ",9810*T124*Y124/(AC124*AD124))</f>
        <v>#VALUE!</v>
      </c>
      <c r="AB124" s="45" t="e">
        <f t="shared" si="35"/>
        <v>#VALUE!</v>
      </c>
      <c r="AC124" s="48" t="e">
        <f t="shared" si="36"/>
        <v>#VALUE!</v>
      </c>
      <c r="AD124" s="48">
        <f t="shared" si="56"/>
        <v>4.1090909090909085</v>
      </c>
      <c r="AE124" s="48" t="e">
        <f t="shared" si="37"/>
        <v>#VALUE!</v>
      </c>
    </row>
    <row r="125" spans="1:32" x14ac:dyDescent="0.35">
      <c r="B125" s="55">
        <f t="shared" si="38"/>
        <v>1.2000000000000002</v>
      </c>
      <c r="Q125" s="45"/>
      <c r="R125" s="45"/>
      <c r="S125" s="45"/>
      <c r="U125" s="45"/>
      <c r="V125" s="45"/>
      <c r="W125" s="45"/>
      <c r="AC125" s="48"/>
    </row>
    <row r="126" spans="1:32" x14ac:dyDescent="0.35">
      <c r="B126" s="55">
        <f t="shared" si="38"/>
        <v>0.8</v>
      </c>
      <c r="W126" s="56"/>
      <c r="AC126" s="48"/>
    </row>
    <row r="127" spans="1:32" x14ac:dyDescent="0.35">
      <c r="B127" s="55">
        <f t="shared" si="38"/>
        <v>0.4</v>
      </c>
      <c r="W127" s="56"/>
    </row>
    <row r="128" spans="1:32" x14ac:dyDescent="0.35">
      <c r="W128" s="56"/>
    </row>
    <row r="129" spans="23:23" x14ac:dyDescent="0.35">
      <c r="W129" s="56"/>
    </row>
    <row r="130" spans="23:23" x14ac:dyDescent="0.35">
      <c r="W130" s="56"/>
    </row>
  </sheetData>
  <mergeCells count="2">
    <mergeCell ref="A24:Z24"/>
    <mergeCell ref="AA24:AF24"/>
  </mergeCells>
  <conditionalFormatting sqref="A27:A124 B26:B127 W126:W130 AC26:AC126 AD27:AG124 Q33:R125 S125 U26:W125 AF26 Y26:Y124 X27:X124 Z27:AB124 T33:T124 F26:G26 C27:P124">
    <cfRule type="expression" dxfId="4888" priority="4838" stopIfTrue="1">
      <formula>$A26&lt;1</formula>
    </cfRule>
  </conditionalFormatting>
  <conditionalFormatting sqref="A26 AD26:AG26 X26:AB26 F27:F119 N27:P122 C26:T26 Q27:R121 AF27:AF121 Y27:Y124 S26:S124 G27:G45">
    <cfRule type="expression" dxfId="4887" priority="4837" stopIfTrue="1">
      <formula>$A26&lt;1</formula>
    </cfRule>
  </conditionalFormatting>
  <conditionalFormatting sqref="T27:T45">
    <cfRule type="expression" dxfId="4886" priority="4836" stopIfTrue="1">
      <formula>$A27&lt;1</formula>
    </cfRule>
  </conditionalFormatting>
  <conditionalFormatting sqref="N26:P122">
    <cfRule type="expression" dxfId="4885" priority="4835" stopIfTrue="1">
      <formula>$A26&lt;1</formula>
    </cfRule>
  </conditionalFormatting>
  <conditionalFormatting sqref="F29">
    <cfRule type="expression" dxfId="4884" priority="4834" stopIfTrue="1">
      <formula>$A29&lt;1</formula>
    </cfRule>
  </conditionalFormatting>
  <conditionalFormatting sqref="A27:A124 B26:B127 W126:W130 AC26:AC126 AD27:AG124 Q33:R125 S125 U26:W125 AF26 Y26:Y124 X27:X124 Z27:AB124 T33:T124 F26:G26 C27:P124">
    <cfRule type="expression" dxfId="4883" priority="4833" stopIfTrue="1">
      <formula>$A26&lt;1</formula>
    </cfRule>
  </conditionalFormatting>
  <conditionalFormatting sqref="A26 AD26:AG26 X26:AB26 F27:F119 N27:P122 C26:T26 Q27:R121 AF27:AF121 Y27:Y124 S26:S124 G27:G45">
    <cfRule type="expression" dxfId="4882" priority="4832" stopIfTrue="1">
      <formula>$A26&lt;1</formula>
    </cfRule>
  </conditionalFormatting>
  <conditionalFormatting sqref="T27:T45">
    <cfRule type="expression" dxfId="4881" priority="4831" stopIfTrue="1">
      <formula>$A27&lt;1</formula>
    </cfRule>
  </conditionalFormatting>
  <conditionalFormatting sqref="N26:P122">
    <cfRule type="expression" dxfId="4880" priority="4830" stopIfTrue="1">
      <formula>$A26&lt;1</formula>
    </cfRule>
  </conditionalFormatting>
  <conditionalFormatting sqref="F29">
    <cfRule type="expression" dxfId="4879" priority="4829" stopIfTrue="1">
      <formula>$A29&lt;1</formula>
    </cfRule>
  </conditionalFormatting>
  <conditionalFormatting sqref="C26">
    <cfRule type="expression" dxfId="4878" priority="4828" stopIfTrue="1">
      <formula>$A26&lt;1</formula>
    </cfRule>
  </conditionalFormatting>
  <conditionalFormatting sqref="C26">
    <cfRule type="expression" dxfId="4877" priority="4827" stopIfTrue="1">
      <formula>$A26&lt;1</formula>
    </cfRule>
  </conditionalFormatting>
  <conditionalFormatting sqref="D26">
    <cfRule type="expression" dxfId="4876" priority="4826" stopIfTrue="1">
      <formula>$A26&lt;1</formula>
    </cfRule>
  </conditionalFormatting>
  <conditionalFormatting sqref="D26">
    <cfRule type="expression" dxfId="4875" priority="4825" stopIfTrue="1">
      <formula>$A26&lt;1</formula>
    </cfRule>
  </conditionalFormatting>
  <conditionalFormatting sqref="E26">
    <cfRule type="expression" dxfId="4874" priority="4824" stopIfTrue="1">
      <formula>$A26&lt;1</formula>
    </cfRule>
  </conditionalFormatting>
  <conditionalFormatting sqref="E26">
    <cfRule type="expression" dxfId="4873" priority="4823" stopIfTrue="1">
      <formula>$A26&lt;1</formula>
    </cfRule>
  </conditionalFormatting>
  <conditionalFormatting sqref="E27">
    <cfRule type="expression" dxfId="4872" priority="4822" stopIfTrue="1">
      <formula>$A27&lt;1</formula>
    </cfRule>
  </conditionalFormatting>
  <conditionalFormatting sqref="E27">
    <cfRule type="expression" dxfId="4871" priority="4821" stopIfTrue="1">
      <formula>$A27&lt;1</formula>
    </cfRule>
  </conditionalFormatting>
  <conditionalFormatting sqref="E27">
    <cfRule type="expression" dxfId="4870" priority="4820" stopIfTrue="1">
      <formula>$A27&lt;1</formula>
    </cfRule>
  </conditionalFormatting>
  <conditionalFormatting sqref="E27">
    <cfRule type="expression" dxfId="4869" priority="4819" stopIfTrue="1">
      <formula>$A27&lt;1</formula>
    </cfRule>
  </conditionalFormatting>
  <conditionalFormatting sqref="E28:E122">
    <cfRule type="expression" dxfId="4868" priority="4818" stopIfTrue="1">
      <formula>$A28&lt;1</formula>
    </cfRule>
  </conditionalFormatting>
  <conditionalFormatting sqref="E28:E122">
    <cfRule type="expression" dxfId="4867" priority="4817" stopIfTrue="1">
      <formula>$A28&lt;1</formula>
    </cfRule>
  </conditionalFormatting>
  <conditionalFormatting sqref="E28:E122">
    <cfRule type="expression" dxfId="4866" priority="4816" stopIfTrue="1">
      <formula>$A28&lt;1</formula>
    </cfRule>
  </conditionalFormatting>
  <conditionalFormatting sqref="E28:E122">
    <cfRule type="expression" dxfId="4865" priority="4815" stopIfTrue="1">
      <formula>$A28&lt;1</formula>
    </cfRule>
  </conditionalFormatting>
  <conditionalFormatting sqref="A27:A124 B26:B127 W126:W130 AC26:AC126 AD27:AG124 Q33:R125 S125 U26:W125 AF26 Y26:Y124 X27:X124 Z27:AB124 T33:T124 F26:G26 C27:P124">
    <cfRule type="expression" dxfId="4864" priority="4814" stopIfTrue="1">
      <formula>$A26&lt;1</formula>
    </cfRule>
  </conditionalFormatting>
  <conditionalFormatting sqref="A26 AD26:AG26 X26:AB26 F27:F119 N27:P122 C26:T26 Q27:R121 AF27:AF121 Y27:Y124 S26:S124 G27:G45">
    <cfRule type="expression" dxfId="4863" priority="4813" stopIfTrue="1">
      <formula>$A26&lt;1</formula>
    </cfRule>
  </conditionalFormatting>
  <conditionalFormatting sqref="T27:T45">
    <cfRule type="expression" dxfId="4862" priority="4812" stopIfTrue="1">
      <formula>$A27&lt;1</formula>
    </cfRule>
  </conditionalFormatting>
  <conditionalFormatting sqref="N26:P122">
    <cfRule type="expression" dxfId="4861" priority="4811" stopIfTrue="1">
      <formula>$A26&lt;1</formula>
    </cfRule>
  </conditionalFormatting>
  <conditionalFormatting sqref="F29">
    <cfRule type="expression" dxfId="4860" priority="4810" stopIfTrue="1">
      <formula>$A29&lt;1</formula>
    </cfRule>
  </conditionalFormatting>
  <conditionalFormatting sqref="A27:A124 B26:B127 W126:W130 AC26:AC126 AD27:AG124 Q33:R125 S125 U26:W125 AF26 Y26:Y124 X27:X124 Z27:AB124 T33:T124 F26:G26 C27:P124">
    <cfRule type="expression" dxfId="4859" priority="4809" stopIfTrue="1">
      <formula>$A26&lt;1</formula>
    </cfRule>
  </conditionalFormatting>
  <conditionalFormatting sqref="A26 AD26:AG26 X26:AB26 F27:F119 N27:P122 C26:T26 Q27:R121 AF27:AF121 Y27:Y124 S26:S124 G27:G45">
    <cfRule type="expression" dxfId="4858" priority="4808" stopIfTrue="1">
      <formula>$A26&lt;1</formula>
    </cfRule>
  </conditionalFormatting>
  <conditionalFormatting sqref="T27:T45">
    <cfRule type="expression" dxfId="4857" priority="4807" stopIfTrue="1">
      <formula>$A27&lt;1</formula>
    </cfRule>
  </conditionalFormatting>
  <conditionalFormatting sqref="N26:P122">
    <cfRule type="expression" dxfId="4856" priority="4806" stopIfTrue="1">
      <formula>$A26&lt;1</formula>
    </cfRule>
  </conditionalFormatting>
  <conditionalFormatting sqref="F29">
    <cfRule type="expression" dxfId="4855" priority="4805" stopIfTrue="1">
      <formula>$A29&lt;1</formula>
    </cfRule>
  </conditionalFormatting>
  <conditionalFormatting sqref="C26">
    <cfRule type="expression" dxfId="4854" priority="4804" stopIfTrue="1">
      <formula>$A26&lt;1</formula>
    </cfRule>
  </conditionalFormatting>
  <conditionalFormatting sqref="C26">
    <cfRule type="expression" dxfId="4853" priority="4803" stopIfTrue="1">
      <formula>$A26&lt;1</formula>
    </cfRule>
  </conditionalFormatting>
  <conditionalFormatting sqref="D26">
    <cfRule type="expression" dxfId="4852" priority="4802" stopIfTrue="1">
      <formula>$A26&lt;1</formula>
    </cfRule>
  </conditionalFormatting>
  <conditionalFormatting sqref="D26">
    <cfRule type="expression" dxfId="4851" priority="4801" stopIfTrue="1">
      <formula>$A26&lt;1</formula>
    </cfRule>
  </conditionalFormatting>
  <conditionalFormatting sqref="E26">
    <cfRule type="expression" dxfId="4850" priority="4800" stopIfTrue="1">
      <formula>$A26&lt;1</formula>
    </cfRule>
  </conditionalFormatting>
  <conditionalFormatting sqref="E26">
    <cfRule type="expression" dxfId="4849" priority="4799" stopIfTrue="1">
      <formula>$A26&lt;1</formula>
    </cfRule>
  </conditionalFormatting>
  <conditionalFormatting sqref="E27">
    <cfRule type="expression" dxfId="4848" priority="4798" stopIfTrue="1">
      <formula>$A27&lt;1</formula>
    </cfRule>
  </conditionalFormatting>
  <conditionalFormatting sqref="E27">
    <cfRule type="expression" dxfId="4847" priority="4797" stopIfTrue="1">
      <formula>$A27&lt;1</formula>
    </cfRule>
  </conditionalFormatting>
  <conditionalFormatting sqref="E27">
    <cfRule type="expression" dxfId="4846" priority="4796" stopIfTrue="1">
      <formula>$A27&lt;1</formula>
    </cfRule>
  </conditionalFormatting>
  <conditionalFormatting sqref="E27">
    <cfRule type="expression" dxfId="4845" priority="4795" stopIfTrue="1">
      <formula>$A27&lt;1</formula>
    </cfRule>
  </conditionalFormatting>
  <conditionalFormatting sqref="E28:E122">
    <cfRule type="expression" dxfId="4844" priority="4794" stopIfTrue="1">
      <formula>$A28&lt;1</formula>
    </cfRule>
  </conditionalFormatting>
  <conditionalFormatting sqref="E28:E122">
    <cfRule type="expression" dxfId="4843" priority="4793" stopIfTrue="1">
      <formula>$A28&lt;1</formula>
    </cfRule>
  </conditionalFormatting>
  <conditionalFormatting sqref="E28:E122">
    <cfRule type="expression" dxfId="4842" priority="4792" stopIfTrue="1">
      <formula>$A28&lt;1</formula>
    </cfRule>
  </conditionalFormatting>
  <conditionalFormatting sqref="E28:E122">
    <cfRule type="expression" dxfId="4841" priority="4791" stopIfTrue="1">
      <formula>$A28&lt;1</formula>
    </cfRule>
  </conditionalFormatting>
  <conditionalFormatting sqref="A27:A124 B26:B127 W126:W130 AC26:AC126 AD27:AG124 Q33:R125 S125 U26:W125 AF26 Y26:Y124 X27:X124 Z27:AB124 T33:T124 F26:G26 C27:P124">
    <cfRule type="expression" dxfId="4840" priority="4790" stopIfTrue="1">
      <formula>$A26&lt;1</formula>
    </cfRule>
  </conditionalFormatting>
  <conditionalFormatting sqref="A26 AD26:AG26 X26:AB26 F27:F119 N27:P122 C26:T26 Q27:R121 AF27:AF121 Y27:Y124 S26:S124 G27:G45">
    <cfRule type="expression" dxfId="4839" priority="4789" stopIfTrue="1">
      <formula>$A26&lt;1</formula>
    </cfRule>
  </conditionalFormatting>
  <conditionalFormatting sqref="T27:T45">
    <cfRule type="expression" dxfId="4838" priority="4788" stopIfTrue="1">
      <formula>$A27&lt;1</formula>
    </cfRule>
  </conditionalFormatting>
  <conditionalFormatting sqref="N26:P122">
    <cfRule type="expression" dxfId="4837" priority="4787" stopIfTrue="1">
      <formula>$A26&lt;1</formula>
    </cfRule>
  </conditionalFormatting>
  <conditionalFormatting sqref="F29">
    <cfRule type="expression" dxfId="4836" priority="4786" stopIfTrue="1">
      <formula>$A29&lt;1</formula>
    </cfRule>
  </conditionalFormatting>
  <conditionalFormatting sqref="A27:A124 B26:B127 W126:W130 AC26:AC126 AD27:AG124 Q33:R125 S125 U26:W125 AF26 Y26:Y124 X27:X124 Z27:AB124 T33:T124 F26:G26 C27:P124">
    <cfRule type="expression" dxfId="4835" priority="4785" stopIfTrue="1">
      <formula>$A26&lt;1</formula>
    </cfRule>
  </conditionalFormatting>
  <conditionalFormatting sqref="A26 AD26:AG26 X26:AB26 F27:F119 N27:P122 C26:T26 Q27:R121 AF27:AF121 Y27:Y124 S26:S124 G27:G45">
    <cfRule type="expression" dxfId="4834" priority="4784" stopIfTrue="1">
      <formula>$A26&lt;1</formula>
    </cfRule>
  </conditionalFormatting>
  <conditionalFormatting sqref="T27:T45">
    <cfRule type="expression" dxfId="4833" priority="4783" stopIfTrue="1">
      <formula>$A27&lt;1</formula>
    </cfRule>
  </conditionalFormatting>
  <conditionalFormatting sqref="N26:P122">
    <cfRule type="expression" dxfId="4832" priority="4782" stopIfTrue="1">
      <formula>$A26&lt;1</formula>
    </cfRule>
  </conditionalFormatting>
  <conditionalFormatting sqref="F29">
    <cfRule type="expression" dxfId="4831" priority="4781" stopIfTrue="1">
      <formula>$A29&lt;1</formula>
    </cfRule>
  </conditionalFormatting>
  <conditionalFormatting sqref="C26">
    <cfRule type="expression" dxfId="4830" priority="4780" stopIfTrue="1">
      <formula>$A26&lt;1</formula>
    </cfRule>
  </conditionalFormatting>
  <conditionalFormatting sqref="C26">
    <cfRule type="expression" dxfId="4829" priority="4779" stopIfTrue="1">
      <formula>$A26&lt;1</formula>
    </cfRule>
  </conditionalFormatting>
  <conditionalFormatting sqref="D26">
    <cfRule type="expression" dxfId="4828" priority="4778" stopIfTrue="1">
      <formula>$A26&lt;1</formula>
    </cfRule>
  </conditionalFormatting>
  <conditionalFormatting sqref="D26">
    <cfRule type="expression" dxfId="4827" priority="4777" stopIfTrue="1">
      <formula>$A26&lt;1</formula>
    </cfRule>
  </conditionalFormatting>
  <conditionalFormatting sqref="E26">
    <cfRule type="expression" dxfId="4826" priority="4776" stopIfTrue="1">
      <formula>$A26&lt;1</formula>
    </cfRule>
  </conditionalFormatting>
  <conditionalFormatting sqref="E26">
    <cfRule type="expression" dxfId="4825" priority="4775" stopIfTrue="1">
      <formula>$A26&lt;1</formula>
    </cfRule>
  </conditionalFormatting>
  <conditionalFormatting sqref="E27">
    <cfRule type="expression" dxfId="4824" priority="4774" stopIfTrue="1">
      <formula>$A27&lt;1</formula>
    </cfRule>
  </conditionalFormatting>
  <conditionalFormatting sqref="E27">
    <cfRule type="expression" dxfId="4823" priority="4773" stopIfTrue="1">
      <formula>$A27&lt;1</formula>
    </cfRule>
  </conditionalFormatting>
  <conditionalFormatting sqref="E27">
    <cfRule type="expression" dxfId="4822" priority="4772" stopIfTrue="1">
      <formula>$A27&lt;1</formula>
    </cfRule>
  </conditionalFormatting>
  <conditionalFormatting sqref="E27">
    <cfRule type="expression" dxfId="4821" priority="4771" stopIfTrue="1">
      <formula>$A27&lt;1</formula>
    </cfRule>
  </conditionalFormatting>
  <conditionalFormatting sqref="E28:E122">
    <cfRule type="expression" dxfId="4820" priority="4770" stopIfTrue="1">
      <formula>$A28&lt;1</formula>
    </cfRule>
  </conditionalFormatting>
  <conditionalFormatting sqref="E28:E122">
    <cfRule type="expression" dxfId="4819" priority="4769" stopIfTrue="1">
      <formula>$A28&lt;1</formula>
    </cfRule>
  </conditionalFormatting>
  <conditionalFormatting sqref="E28:E122">
    <cfRule type="expression" dxfId="4818" priority="4768" stopIfTrue="1">
      <formula>$A28&lt;1</formula>
    </cfRule>
  </conditionalFormatting>
  <conditionalFormatting sqref="E28:E122">
    <cfRule type="expression" dxfId="4817" priority="4767" stopIfTrue="1">
      <formula>$A28&lt;1</formula>
    </cfRule>
  </conditionalFormatting>
  <conditionalFormatting sqref="T33:T37">
    <cfRule type="expression" dxfId="4816" priority="4766" stopIfTrue="1">
      <formula>$A33&lt;1</formula>
    </cfRule>
  </conditionalFormatting>
  <conditionalFormatting sqref="T27:T45">
    <cfRule type="expression" dxfId="4815" priority="4765" stopIfTrue="1">
      <formula>$A27&lt;1</formula>
    </cfRule>
  </conditionalFormatting>
  <conditionalFormatting sqref="T33:T37">
    <cfRule type="expression" dxfId="4814" priority="4764" stopIfTrue="1">
      <formula>$A33&lt;1</formula>
    </cfRule>
  </conditionalFormatting>
  <conditionalFormatting sqref="T27:T45">
    <cfRule type="expression" dxfId="4813" priority="4763" stopIfTrue="1">
      <formula>$A27&lt;1</formula>
    </cfRule>
  </conditionalFormatting>
  <conditionalFormatting sqref="T33:T37">
    <cfRule type="expression" dxfId="4812" priority="4762" stopIfTrue="1">
      <formula>$A33&lt;1</formula>
    </cfRule>
  </conditionalFormatting>
  <conditionalFormatting sqref="T27:T45">
    <cfRule type="expression" dxfId="4811" priority="4761" stopIfTrue="1">
      <formula>$A27&lt;1</formula>
    </cfRule>
  </conditionalFormatting>
  <conditionalFormatting sqref="T33:T37">
    <cfRule type="expression" dxfId="4810" priority="4760" stopIfTrue="1">
      <formula>$A33&lt;1</formula>
    </cfRule>
  </conditionalFormatting>
  <conditionalFormatting sqref="T27:T45">
    <cfRule type="expression" dxfId="4809" priority="4759" stopIfTrue="1">
      <formula>$A27&lt;1</formula>
    </cfRule>
  </conditionalFormatting>
  <conditionalFormatting sqref="T33:T37">
    <cfRule type="expression" dxfId="4808" priority="4758" stopIfTrue="1">
      <formula>$A33&lt;1</formula>
    </cfRule>
  </conditionalFormatting>
  <conditionalFormatting sqref="T27:T45">
    <cfRule type="expression" dxfId="4807" priority="4757" stopIfTrue="1">
      <formula>$A27&lt;1</formula>
    </cfRule>
  </conditionalFormatting>
  <conditionalFormatting sqref="T33:T37">
    <cfRule type="expression" dxfId="4806" priority="4756" stopIfTrue="1">
      <formula>$A33&lt;1</formula>
    </cfRule>
  </conditionalFormatting>
  <conditionalFormatting sqref="T27:T45">
    <cfRule type="expression" dxfId="4805" priority="4755" stopIfTrue="1">
      <formula>$A27&lt;1</formula>
    </cfRule>
  </conditionalFormatting>
  <conditionalFormatting sqref="T33:T37">
    <cfRule type="expression" dxfId="4804" priority="4754" stopIfTrue="1">
      <formula>$A33&lt;1</formula>
    </cfRule>
  </conditionalFormatting>
  <conditionalFormatting sqref="T27:T45">
    <cfRule type="expression" dxfId="4803" priority="4753" stopIfTrue="1">
      <formula>$A27&lt;1</formula>
    </cfRule>
  </conditionalFormatting>
  <conditionalFormatting sqref="T33:T37">
    <cfRule type="expression" dxfId="4802" priority="4752" stopIfTrue="1">
      <formula>$A33&lt;1</formula>
    </cfRule>
  </conditionalFormatting>
  <conditionalFormatting sqref="T27:T45">
    <cfRule type="expression" dxfId="4801" priority="4751" stopIfTrue="1">
      <formula>$A27&lt;1</formula>
    </cfRule>
  </conditionalFormatting>
  <conditionalFormatting sqref="T33:T37">
    <cfRule type="expression" dxfId="4800" priority="4750" stopIfTrue="1">
      <formula>$A33&lt;1</formula>
    </cfRule>
  </conditionalFormatting>
  <conditionalFormatting sqref="T27:T45">
    <cfRule type="expression" dxfId="4799" priority="4749" stopIfTrue="1">
      <formula>$A27&lt;1</formula>
    </cfRule>
  </conditionalFormatting>
  <conditionalFormatting sqref="T33:T37">
    <cfRule type="expression" dxfId="4798" priority="4748" stopIfTrue="1">
      <formula>$A33&lt;1</formula>
    </cfRule>
  </conditionalFormatting>
  <conditionalFormatting sqref="T27:T45">
    <cfRule type="expression" dxfId="4797" priority="4747" stopIfTrue="1">
      <formula>$A27&lt;1</formula>
    </cfRule>
  </conditionalFormatting>
  <conditionalFormatting sqref="T33:T37">
    <cfRule type="expression" dxfId="4796" priority="4746" stopIfTrue="1">
      <formula>$A33&lt;1</formula>
    </cfRule>
  </conditionalFormatting>
  <conditionalFormatting sqref="T27:T45">
    <cfRule type="expression" dxfId="4795" priority="4745" stopIfTrue="1">
      <formula>$A27&lt;1</formula>
    </cfRule>
  </conditionalFormatting>
  <conditionalFormatting sqref="T33:T37">
    <cfRule type="expression" dxfId="4794" priority="4744" stopIfTrue="1">
      <formula>$A33&lt;1</formula>
    </cfRule>
  </conditionalFormatting>
  <conditionalFormatting sqref="T27:T45">
    <cfRule type="expression" dxfId="4793" priority="4743" stopIfTrue="1">
      <formula>$A27&lt;1</formula>
    </cfRule>
  </conditionalFormatting>
  <conditionalFormatting sqref="T33:T37">
    <cfRule type="expression" dxfId="4792" priority="4742" stopIfTrue="1">
      <formula>$A33&lt;1</formula>
    </cfRule>
  </conditionalFormatting>
  <conditionalFormatting sqref="T27:T45">
    <cfRule type="expression" dxfId="4791" priority="4741" stopIfTrue="1">
      <formula>$A27&lt;1</formula>
    </cfRule>
  </conditionalFormatting>
  <conditionalFormatting sqref="T33:T37">
    <cfRule type="expression" dxfId="4790" priority="4740" stopIfTrue="1">
      <formula>$A33&lt;1</formula>
    </cfRule>
  </conditionalFormatting>
  <conditionalFormatting sqref="T27:T45">
    <cfRule type="expression" dxfId="4789" priority="4739" stopIfTrue="1">
      <formula>$A27&lt;1</formula>
    </cfRule>
  </conditionalFormatting>
  <conditionalFormatting sqref="T33:T37">
    <cfRule type="expression" dxfId="4788" priority="4738" stopIfTrue="1">
      <formula>$A33&lt;1</formula>
    </cfRule>
  </conditionalFormatting>
  <conditionalFormatting sqref="T27:T45">
    <cfRule type="expression" dxfId="4787" priority="4737" stopIfTrue="1">
      <formula>$A27&lt;1</formula>
    </cfRule>
  </conditionalFormatting>
  <conditionalFormatting sqref="T33:T37">
    <cfRule type="expression" dxfId="4786" priority="4736" stopIfTrue="1">
      <formula>$A33&lt;1</formula>
    </cfRule>
  </conditionalFormatting>
  <conditionalFormatting sqref="T27:T45">
    <cfRule type="expression" dxfId="4785" priority="4735" stopIfTrue="1">
      <formula>$A27&lt;1</formula>
    </cfRule>
  </conditionalFormatting>
  <conditionalFormatting sqref="T33:T37">
    <cfRule type="expression" dxfId="4784" priority="4734" stopIfTrue="1">
      <formula>$A33&lt;1</formula>
    </cfRule>
  </conditionalFormatting>
  <conditionalFormatting sqref="T27:T45">
    <cfRule type="expression" dxfId="4783" priority="4733" stopIfTrue="1">
      <formula>$A27&lt;1</formula>
    </cfRule>
  </conditionalFormatting>
  <conditionalFormatting sqref="T33:T37">
    <cfRule type="expression" dxfId="4782" priority="4732" stopIfTrue="1">
      <formula>$A33&lt;1</formula>
    </cfRule>
  </conditionalFormatting>
  <conditionalFormatting sqref="T27:T45">
    <cfRule type="expression" dxfId="4781" priority="4731" stopIfTrue="1">
      <formula>$A27&lt;1</formula>
    </cfRule>
  </conditionalFormatting>
  <conditionalFormatting sqref="T33:T37">
    <cfRule type="expression" dxfId="4780" priority="4730" stopIfTrue="1">
      <formula>$A33&lt;1</formula>
    </cfRule>
  </conditionalFormatting>
  <conditionalFormatting sqref="T27:T45">
    <cfRule type="expression" dxfId="4779" priority="4729" stopIfTrue="1">
      <formula>$A27&lt;1</formula>
    </cfRule>
  </conditionalFormatting>
  <conditionalFormatting sqref="T33:T37">
    <cfRule type="expression" dxfId="4778" priority="4728" stopIfTrue="1">
      <formula>$A33&lt;1</formula>
    </cfRule>
  </conditionalFormatting>
  <conditionalFormatting sqref="T27:T45">
    <cfRule type="expression" dxfId="4777" priority="4727" stopIfTrue="1">
      <formula>$A27&lt;1</formula>
    </cfRule>
  </conditionalFormatting>
  <conditionalFormatting sqref="T33:T37">
    <cfRule type="expression" dxfId="4776" priority="4726" stopIfTrue="1">
      <formula>$A33&lt;1</formula>
    </cfRule>
  </conditionalFormatting>
  <conditionalFormatting sqref="T27:T45">
    <cfRule type="expression" dxfId="4775" priority="4725" stopIfTrue="1">
      <formula>$A27&lt;1</formula>
    </cfRule>
  </conditionalFormatting>
  <conditionalFormatting sqref="T33:T37">
    <cfRule type="expression" dxfId="4774" priority="4724" stopIfTrue="1">
      <formula>$A33&lt;1</formula>
    </cfRule>
  </conditionalFormatting>
  <conditionalFormatting sqref="T27:T45">
    <cfRule type="expression" dxfId="4773" priority="4723" stopIfTrue="1">
      <formula>$A27&lt;1</formula>
    </cfRule>
  </conditionalFormatting>
  <conditionalFormatting sqref="T33:T37">
    <cfRule type="expression" dxfId="4772" priority="4722" stopIfTrue="1">
      <formula>$A33&lt;1</formula>
    </cfRule>
  </conditionalFormatting>
  <conditionalFormatting sqref="T27:T45">
    <cfRule type="expression" dxfId="4771" priority="4721" stopIfTrue="1">
      <formula>$A27&lt;1</formula>
    </cfRule>
  </conditionalFormatting>
  <conditionalFormatting sqref="T33:T37">
    <cfRule type="expression" dxfId="4770" priority="4720" stopIfTrue="1">
      <formula>$A33&lt;1</formula>
    </cfRule>
  </conditionalFormatting>
  <conditionalFormatting sqref="T27:T45">
    <cfRule type="expression" dxfId="4769" priority="4719" stopIfTrue="1">
      <formula>$A27&lt;1</formula>
    </cfRule>
  </conditionalFormatting>
  <conditionalFormatting sqref="T33:T37">
    <cfRule type="expression" dxfId="4768" priority="4718" stopIfTrue="1">
      <formula>$A33&lt;1</formula>
    </cfRule>
  </conditionalFormatting>
  <conditionalFormatting sqref="T27:T45">
    <cfRule type="expression" dxfId="4767" priority="4717" stopIfTrue="1">
      <formula>$A27&lt;1</formula>
    </cfRule>
  </conditionalFormatting>
  <conditionalFormatting sqref="T33:T37">
    <cfRule type="expression" dxfId="4766" priority="4716" stopIfTrue="1">
      <formula>$A33&lt;1</formula>
    </cfRule>
  </conditionalFormatting>
  <conditionalFormatting sqref="T27:T45">
    <cfRule type="expression" dxfId="4765" priority="4715" stopIfTrue="1">
      <formula>$A27&lt;1</formula>
    </cfRule>
  </conditionalFormatting>
  <conditionalFormatting sqref="T33:T37">
    <cfRule type="expression" dxfId="4764" priority="4714" stopIfTrue="1">
      <formula>$A33&lt;1</formula>
    </cfRule>
  </conditionalFormatting>
  <conditionalFormatting sqref="T27:T45">
    <cfRule type="expression" dxfId="4763" priority="4713" stopIfTrue="1">
      <formula>$A27&lt;1</formula>
    </cfRule>
  </conditionalFormatting>
  <conditionalFormatting sqref="T33:T37">
    <cfRule type="expression" dxfId="4762" priority="4712" stopIfTrue="1">
      <formula>$A33&lt;1</formula>
    </cfRule>
  </conditionalFormatting>
  <conditionalFormatting sqref="T27:T45">
    <cfRule type="expression" dxfId="4761" priority="4711" stopIfTrue="1">
      <formula>$A27&lt;1</formula>
    </cfRule>
  </conditionalFormatting>
  <conditionalFormatting sqref="T33:T37">
    <cfRule type="expression" dxfId="4760" priority="4710" stopIfTrue="1">
      <formula>$A33&lt;1</formula>
    </cfRule>
  </conditionalFormatting>
  <conditionalFormatting sqref="T27:T45">
    <cfRule type="expression" dxfId="4759" priority="4709" stopIfTrue="1">
      <formula>$A27&lt;1</formula>
    </cfRule>
  </conditionalFormatting>
  <conditionalFormatting sqref="T33:T37">
    <cfRule type="expression" dxfId="4758" priority="4708" stopIfTrue="1">
      <formula>$A33&lt;1</formula>
    </cfRule>
  </conditionalFormatting>
  <conditionalFormatting sqref="T27:T45">
    <cfRule type="expression" dxfId="4757" priority="4707" stopIfTrue="1">
      <formula>$A27&lt;1</formula>
    </cfRule>
  </conditionalFormatting>
  <conditionalFormatting sqref="T33:T37">
    <cfRule type="expression" dxfId="4756" priority="4706" stopIfTrue="1">
      <formula>$A33&lt;1</formula>
    </cfRule>
  </conditionalFormatting>
  <conditionalFormatting sqref="T27:T45">
    <cfRule type="expression" dxfId="4755" priority="4705" stopIfTrue="1">
      <formula>$A27&lt;1</formula>
    </cfRule>
  </conditionalFormatting>
  <conditionalFormatting sqref="T33:T37">
    <cfRule type="expression" dxfId="4754" priority="4704" stopIfTrue="1">
      <formula>$A33&lt;1</formula>
    </cfRule>
  </conditionalFormatting>
  <conditionalFormatting sqref="T27:T45">
    <cfRule type="expression" dxfId="4753" priority="4703" stopIfTrue="1">
      <formula>$A27&lt;1</formula>
    </cfRule>
  </conditionalFormatting>
  <conditionalFormatting sqref="T33:T37">
    <cfRule type="expression" dxfId="4752" priority="4702" stopIfTrue="1">
      <formula>$A33&lt;1</formula>
    </cfRule>
  </conditionalFormatting>
  <conditionalFormatting sqref="T27:T45">
    <cfRule type="expression" dxfId="4751" priority="4701" stopIfTrue="1">
      <formula>$A27&lt;1</formula>
    </cfRule>
  </conditionalFormatting>
  <conditionalFormatting sqref="T33:T37">
    <cfRule type="expression" dxfId="4750" priority="4700" stopIfTrue="1">
      <formula>$A33&lt;1</formula>
    </cfRule>
  </conditionalFormatting>
  <conditionalFormatting sqref="T27:T45">
    <cfRule type="expression" dxfId="4749" priority="4699" stopIfTrue="1">
      <formula>$A27&lt;1</formula>
    </cfRule>
  </conditionalFormatting>
  <conditionalFormatting sqref="T33:T37">
    <cfRule type="expression" dxfId="4748" priority="4698" stopIfTrue="1">
      <formula>$A33&lt;1</formula>
    </cfRule>
  </conditionalFormatting>
  <conditionalFormatting sqref="T27:T45">
    <cfRule type="expression" dxfId="4747" priority="4697" stopIfTrue="1">
      <formula>$A27&lt;1</formula>
    </cfRule>
  </conditionalFormatting>
  <conditionalFormatting sqref="T33:T37">
    <cfRule type="expression" dxfId="4746" priority="4696" stopIfTrue="1">
      <formula>$A33&lt;1</formula>
    </cfRule>
  </conditionalFormatting>
  <conditionalFormatting sqref="T27:T45">
    <cfRule type="expression" dxfId="4745" priority="4695" stopIfTrue="1">
      <formula>$A27&lt;1</formula>
    </cfRule>
  </conditionalFormatting>
  <conditionalFormatting sqref="T33:T37">
    <cfRule type="expression" dxfId="4744" priority="4694" stopIfTrue="1">
      <formula>$A33&lt;1</formula>
    </cfRule>
  </conditionalFormatting>
  <conditionalFormatting sqref="T27:T45">
    <cfRule type="expression" dxfId="4743" priority="4693" stopIfTrue="1">
      <formula>$A27&lt;1</formula>
    </cfRule>
  </conditionalFormatting>
  <conditionalFormatting sqref="T33:T37">
    <cfRule type="expression" dxfId="4742" priority="4692" stopIfTrue="1">
      <formula>$A33&lt;1</formula>
    </cfRule>
  </conditionalFormatting>
  <conditionalFormatting sqref="T27:T45">
    <cfRule type="expression" dxfId="4741" priority="4691" stopIfTrue="1">
      <formula>$A27&lt;1</formula>
    </cfRule>
  </conditionalFormatting>
  <conditionalFormatting sqref="T33:T37">
    <cfRule type="expression" dxfId="4740" priority="4690" stopIfTrue="1">
      <formula>$A33&lt;1</formula>
    </cfRule>
  </conditionalFormatting>
  <conditionalFormatting sqref="T27:T45">
    <cfRule type="expression" dxfId="4739" priority="4689" stopIfTrue="1">
      <formula>$A27&lt;1</formula>
    </cfRule>
  </conditionalFormatting>
  <conditionalFormatting sqref="T33:T37">
    <cfRule type="expression" dxfId="4738" priority="4688" stopIfTrue="1">
      <formula>$A33&lt;1</formula>
    </cfRule>
  </conditionalFormatting>
  <conditionalFormatting sqref="T27:T45">
    <cfRule type="expression" dxfId="4737" priority="4687" stopIfTrue="1">
      <formula>$A27&lt;1</formula>
    </cfRule>
  </conditionalFormatting>
  <conditionalFormatting sqref="T33:T37">
    <cfRule type="expression" dxfId="4736" priority="4686" stopIfTrue="1">
      <formula>$A33&lt;1</formula>
    </cfRule>
  </conditionalFormatting>
  <conditionalFormatting sqref="T27:T45">
    <cfRule type="expression" dxfId="4735" priority="4685" stopIfTrue="1">
      <formula>$A27&lt;1</formula>
    </cfRule>
  </conditionalFormatting>
  <conditionalFormatting sqref="T33:T37">
    <cfRule type="expression" dxfId="4734" priority="4684" stopIfTrue="1">
      <formula>$A33&lt;1</formula>
    </cfRule>
  </conditionalFormatting>
  <conditionalFormatting sqref="T27:T45">
    <cfRule type="expression" dxfId="4733" priority="4683" stopIfTrue="1">
      <formula>$A27&lt;1</formula>
    </cfRule>
  </conditionalFormatting>
  <conditionalFormatting sqref="T33:T37">
    <cfRule type="expression" dxfId="4732" priority="4682" stopIfTrue="1">
      <formula>$A33&lt;1</formula>
    </cfRule>
  </conditionalFormatting>
  <conditionalFormatting sqref="T27:T45">
    <cfRule type="expression" dxfId="4731" priority="4681" stopIfTrue="1">
      <formula>$A27&lt;1</formula>
    </cfRule>
  </conditionalFormatting>
  <conditionalFormatting sqref="T33:T37">
    <cfRule type="expression" dxfId="4730" priority="4680" stopIfTrue="1">
      <formula>$A33&lt;1</formula>
    </cfRule>
  </conditionalFormatting>
  <conditionalFormatting sqref="T27:T45">
    <cfRule type="expression" dxfId="4729" priority="4679" stopIfTrue="1">
      <formula>$A27&lt;1</formula>
    </cfRule>
  </conditionalFormatting>
  <conditionalFormatting sqref="T33:T37">
    <cfRule type="expression" dxfId="4728" priority="4678" stopIfTrue="1">
      <formula>$A33&lt;1</formula>
    </cfRule>
  </conditionalFormatting>
  <conditionalFormatting sqref="T27:T45">
    <cfRule type="expression" dxfId="4727" priority="4677" stopIfTrue="1">
      <formula>$A27&lt;1</formula>
    </cfRule>
  </conditionalFormatting>
  <conditionalFormatting sqref="T33:T37">
    <cfRule type="expression" dxfId="4726" priority="4676" stopIfTrue="1">
      <formula>$A33&lt;1</formula>
    </cfRule>
  </conditionalFormatting>
  <conditionalFormatting sqref="T27:T45">
    <cfRule type="expression" dxfId="4725" priority="4675" stopIfTrue="1">
      <formula>$A27&lt;1</formula>
    </cfRule>
  </conditionalFormatting>
  <conditionalFormatting sqref="T33:T37">
    <cfRule type="expression" dxfId="4724" priority="4674" stopIfTrue="1">
      <formula>$A33&lt;1</formula>
    </cfRule>
  </conditionalFormatting>
  <conditionalFormatting sqref="T27:T45">
    <cfRule type="expression" dxfId="4723" priority="4673" stopIfTrue="1">
      <formula>$A27&lt;1</formula>
    </cfRule>
  </conditionalFormatting>
  <conditionalFormatting sqref="T33:T37">
    <cfRule type="expression" dxfId="4722" priority="4672" stopIfTrue="1">
      <formula>$A33&lt;1</formula>
    </cfRule>
  </conditionalFormatting>
  <conditionalFormatting sqref="T27:T45">
    <cfRule type="expression" dxfId="4721" priority="4671" stopIfTrue="1">
      <formula>$A27&lt;1</formula>
    </cfRule>
  </conditionalFormatting>
  <conditionalFormatting sqref="T33:T37">
    <cfRule type="expression" dxfId="4720" priority="4670" stopIfTrue="1">
      <formula>$A33&lt;1</formula>
    </cfRule>
  </conditionalFormatting>
  <conditionalFormatting sqref="T27:T45">
    <cfRule type="expression" dxfId="4719" priority="4669" stopIfTrue="1">
      <formula>$A27&lt;1</formula>
    </cfRule>
  </conditionalFormatting>
  <conditionalFormatting sqref="T33:T37">
    <cfRule type="expression" dxfId="4718" priority="4668" stopIfTrue="1">
      <formula>$A33&lt;1</formula>
    </cfRule>
  </conditionalFormatting>
  <conditionalFormatting sqref="T27:T45">
    <cfRule type="expression" dxfId="4717" priority="4667" stopIfTrue="1">
      <formula>$A27&lt;1</formula>
    </cfRule>
  </conditionalFormatting>
  <conditionalFormatting sqref="T33:T37">
    <cfRule type="expression" dxfId="4716" priority="4666" stopIfTrue="1">
      <formula>$A33&lt;1</formula>
    </cfRule>
  </conditionalFormatting>
  <conditionalFormatting sqref="T27:T45">
    <cfRule type="expression" dxfId="4715" priority="4665" stopIfTrue="1">
      <formula>$A27&lt;1</formula>
    </cfRule>
  </conditionalFormatting>
  <conditionalFormatting sqref="T33:T37">
    <cfRule type="expression" dxfId="4714" priority="4664" stopIfTrue="1">
      <formula>$A33&lt;1</formula>
    </cfRule>
  </conditionalFormatting>
  <conditionalFormatting sqref="T27:T45">
    <cfRule type="expression" dxfId="4713" priority="4663" stopIfTrue="1">
      <formula>$A27&lt;1</formula>
    </cfRule>
  </conditionalFormatting>
  <conditionalFormatting sqref="T33:T37">
    <cfRule type="expression" dxfId="4712" priority="4662" stopIfTrue="1">
      <formula>$A33&lt;1</formula>
    </cfRule>
  </conditionalFormatting>
  <conditionalFormatting sqref="T27:T45">
    <cfRule type="expression" dxfId="4711" priority="4661" stopIfTrue="1">
      <formula>$A27&lt;1</formula>
    </cfRule>
  </conditionalFormatting>
  <conditionalFormatting sqref="T33:T37">
    <cfRule type="expression" dxfId="4710" priority="4660" stopIfTrue="1">
      <formula>$A33&lt;1</formula>
    </cfRule>
  </conditionalFormatting>
  <conditionalFormatting sqref="T27:T45">
    <cfRule type="expression" dxfId="4709" priority="4659" stopIfTrue="1">
      <formula>$A27&lt;1</formula>
    </cfRule>
  </conditionalFormatting>
  <conditionalFormatting sqref="T33:T37">
    <cfRule type="expression" dxfId="4708" priority="4658" stopIfTrue="1">
      <formula>$A33&lt;1</formula>
    </cfRule>
  </conditionalFormatting>
  <conditionalFormatting sqref="T27:T45">
    <cfRule type="expression" dxfId="4707" priority="4657" stopIfTrue="1">
      <formula>$A27&lt;1</formula>
    </cfRule>
  </conditionalFormatting>
  <conditionalFormatting sqref="T33:T37">
    <cfRule type="expression" dxfId="4706" priority="4656" stopIfTrue="1">
      <formula>$A33&lt;1</formula>
    </cfRule>
  </conditionalFormatting>
  <conditionalFormatting sqref="T27:T45">
    <cfRule type="expression" dxfId="4705" priority="4655" stopIfTrue="1">
      <formula>$A27&lt;1</formula>
    </cfRule>
  </conditionalFormatting>
  <conditionalFormatting sqref="T33:T37">
    <cfRule type="expression" dxfId="4704" priority="4654" stopIfTrue="1">
      <formula>$A33&lt;1</formula>
    </cfRule>
  </conditionalFormatting>
  <conditionalFormatting sqref="T27:T45">
    <cfRule type="expression" dxfId="4703" priority="4653" stopIfTrue="1">
      <formula>$A27&lt;1</formula>
    </cfRule>
  </conditionalFormatting>
  <conditionalFormatting sqref="T33:T37">
    <cfRule type="expression" dxfId="4702" priority="4652" stopIfTrue="1">
      <formula>$A33&lt;1</formula>
    </cfRule>
  </conditionalFormatting>
  <conditionalFormatting sqref="T27:T45">
    <cfRule type="expression" dxfId="4701" priority="4651" stopIfTrue="1">
      <formula>$A27&lt;1</formula>
    </cfRule>
  </conditionalFormatting>
  <conditionalFormatting sqref="T33:T37">
    <cfRule type="expression" dxfId="4700" priority="4650" stopIfTrue="1">
      <formula>$A33&lt;1</formula>
    </cfRule>
  </conditionalFormatting>
  <conditionalFormatting sqref="T27:T45">
    <cfRule type="expression" dxfId="4699" priority="4649" stopIfTrue="1">
      <formula>$A27&lt;1</formula>
    </cfRule>
  </conditionalFormatting>
  <conditionalFormatting sqref="T33:T37">
    <cfRule type="expression" dxfId="4698" priority="4648" stopIfTrue="1">
      <formula>$A33&lt;1</formula>
    </cfRule>
  </conditionalFormatting>
  <conditionalFormatting sqref="T27:T45">
    <cfRule type="expression" dxfId="4697" priority="4647" stopIfTrue="1">
      <formula>$A27&lt;1</formula>
    </cfRule>
  </conditionalFormatting>
  <conditionalFormatting sqref="T33:T37">
    <cfRule type="expression" dxfId="4696" priority="4646" stopIfTrue="1">
      <formula>$A33&lt;1</formula>
    </cfRule>
  </conditionalFormatting>
  <conditionalFormatting sqref="T27:T45">
    <cfRule type="expression" dxfId="4695" priority="4645" stopIfTrue="1">
      <formula>$A27&lt;1</formula>
    </cfRule>
  </conditionalFormatting>
  <conditionalFormatting sqref="T33:T37">
    <cfRule type="expression" dxfId="4694" priority="4644" stopIfTrue="1">
      <formula>$A33&lt;1</formula>
    </cfRule>
  </conditionalFormatting>
  <conditionalFormatting sqref="T27:T45">
    <cfRule type="expression" dxfId="4693" priority="4643" stopIfTrue="1">
      <formula>$A27&lt;1</formula>
    </cfRule>
  </conditionalFormatting>
  <conditionalFormatting sqref="T33:T37">
    <cfRule type="expression" dxfId="4692" priority="4642" stopIfTrue="1">
      <formula>$A33&lt;1</formula>
    </cfRule>
  </conditionalFormatting>
  <conditionalFormatting sqref="T27:T45">
    <cfRule type="expression" dxfId="4691" priority="4641" stopIfTrue="1">
      <formula>$A27&lt;1</formula>
    </cfRule>
  </conditionalFormatting>
  <conditionalFormatting sqref="T33:T37">
    <cfRule type="expression" dxfId="4690" priority="4640" stopIfTrue="1">
      <formula>$A33&lt;1</formula>
    </cfRule>
  </conditionalFormatting>
  <conditionalFormatting sqref="T27:T45">
    <cfRule type="expression" dxfId="4689" priority="4639" stopIfTrue="1">
      <formula>$A27&lt;1</formula>
    </cfRule>
  </conditionalFormatting>
  <conditionalFormatting sqref="T33:T37">
    <cfRule type="expression" dxfId="4688" priority="4638" stopIfTrue="1">
      <formula>$A33&lt;1</formula>
    </cfRule>
  </conditionalFormatting>
  <conditionalFormatting sqref="T27:T45">
    <cfRule type="expression" dxfId="4687" priority="4637" stopIfTrue="1">
      <formula>$A27&lt;1</formula>
    </cfRule>
  </conditionalFormatting>
  <conditionalFormatting sqref="T33:T37">
    <cfRule type="expression" dxfId="4686" priority="4636" stopIfTrue="1">
      <formula>$A33&lt;1</formula>
    </cfRule>
  </conditionalFormatting>
  <conditionalFormatting sqref="T27:T45">
    <cfRule type="expression" dxfId="4685" priority="4635" stopIfTrue="1">
      <formula>$A27&lt;1</formula>
    </cfRule>
  </conditionalFormatting>
  <conditionalFormatting sqref="T33:T37">
    <cfRule type="expression" dxfId="4684" priority="4634" stopIfTrue="1">
      <formula>$A33&lt;1</formula>
    </cfRule>
  </conditionalFormatting>
  <conditionalFormatting sqref="T27:T45">
    <cfRule type="expression" dxfId="4683" priority="4633" stopIfTrue="1">
      <formula>$A27&lt;1</formula>
    </cfRule>
  </conditionalFormatting>
  <conditionalFormatting sqref="T33:T37">
    <cfRule type="expression" dxfId="4682" priority="4632" stopIfTrue="1">
      <formula>$A33&lt;1</formula>
    </cfRule>
  </conditionalFormatting>
  <conditionalFormatting sqref="T27:T45">
    <cfRule type="expression" dxfId="4681" priority="4631" stopIfTrue="1">
      <formula>$A27&lt;1</formula>
    </cfRule>
  </conditionalFormatting>
  <conditionalFormatting sqref="T33:T37">
    <cfRule type="expression" dxfId="4680" priority="4630" stopIfTrue="1">
      <formula>$A33&lt;1</formula>
    </cfRule>
  </conditionalFormatting>
  <conditionalFormatting sqref="T27:T45">
    <cfRule type="expression" dxfId="4679" priority="4629" stopIfTrue="1">
      <formula>$A27&lt;1</formula>
    </cfRule>
  </conditionalFormatting>
  <conditionalFormatting sqref="T33:T37">
    <cfRule type="expression" dxfId="4678" priority="4628" stopIfTrue="1">
      <formula>$A33&lt;1</formula>
    </cfRule>
  </conditionalFormatting>
  <conditionalFormatting sqref="T27:T45">
    <cfRule type="expression" dxfId="4677" priority="4627" stopIfTrue="1">
      <formula>$A27&lt;1</formula>
    </cfRule>
  </conditionalFormatting>
  <conditionalFormatting sqref="T33:T37">
    <cfRule type="expression" dxfId="4676" priority="4626" stopIfTrue="1">
      <formula>$A33&lt;1</formula>
    </cfRule>
  </conditionalFormatting>
  <conditionalFormatting sqref="T27:T45">
    <cfRule type="expression" dxfId="4675" priority="4625" stopIfTrue="1">
      <formula>$A27&lt;1</formula>
    </cfRule>
  </conditionalFormatting>
  <conditionalFormatting sqref="T33:T37">
    <cfRule type="expression" dxfId="4674" priority="4624" stopIfTrue="1">
      <formula>$A33&lt;1</formula>
    </cfRule>
  </conditionalFormatting>
  <conditionalFormatting sqref="T27:T45">
    <cfRule type="expression" dxfId="4673" priority="4623" stopIfTrue="1">
      <formula>$A27&lt;1</formula>
    </cfRule>
  </conditionalFormatting>
  <conditionalFormatting sqref="T33:T37">
    <cfRule type="expression" dxfId="4672" priority="4622" stopIfTrue="1">
      <formula>$A33&lt;1</formula>
    </cfRule>
  </conditionalFormatting>
  <conditionalFormatting sqref="T27:T45">
    <cfRule type="expression" dxfId="4671" priority="4621" stopIfTrue="1">
      <formula>$A27&lt;1</formula>
    </cfRule>
  </conditionalFormatting>
  <conditionalFormatting sqref="T33:T37">
    <cfRule type="expression" dxfId="4670" priority="4620" stopIfTrue="1">
      <formula>$A33&lt;1</formula>
    </cfRule>
  </conditionalFormatting>
  <conditionalFormatting sqref="T27:T45">
    <cfRule type="expression" dxfId="4669" priority="4619" stopIfTrue="1">
      <formula>$A27&lt;1</formula>
    </cfRule>
  </conditionalFormatting>
  <conditionalFormatting sqref="T33:T37">
    <cfRule type="expression" dxfId="4668" priority="4618" stopIfTrue="1">
      <formula>$A33&lt;1</formula>
    </cfRule>
  </conditionalFormatting>
  <conditionalFormatting sqref="T27:T45">
    <cfRule type="expression" dxfId="4667" priority="4617" stopIfTrue="1">
      <formula>$A27&lt;1</formula>
    </cfRule>
  </conditionalFormatting>
  <conditionalFormatting sqref="T33:T37">
    <cfRule type="expression" dxfId="4666" priority="4616" stopIfTrue="1">
      <formula>$A33&lt;1</formula>
    </cfRule>
  </conditionalFormatting>
  <conditionalFormatting sqref="T27:T45">
    <cfRule type="expression" dxfId="4665" priority="4615" stopIfTrue="1">
      <formula>$A27&lt;1</formula>
    </cfRule>
  </conditionalFormatting>
  <conditionalFormatting sqref="T33:T37">
    <cfRule type="expression" dxfId="4664" priority="4614" stopIfTrue="1">
      <formula>$A33&lt;1</formula>
    </cfRule>
  </conditionalFormatting>
  <conditionalFormatting sqref="T27:T45">
    <cfRule type="expression" dxfId="4663" priority="4613" stopIfTrue="1">
      <formula>$A27&lt;1</formula>
    </cfRule>
  </conditionalFormatting>
  <conditionalFormatting sqref="T33:T37">
    <cfRule type="expression" dxfId="4662" priority="4612" stopIfTrue="1">
      <formula>$A33&lt;1</formula>
    </cfRule>
  </conditionalFormatting>
  <conditionalFormatting sqref="T27:T45">
    <cfRule type="expression" dxfId="4661" priority="4611" stopIfTrue="1">
      <formula>$A27&lt;1</formula>
    </cfRule>
  </conditionalFormatting>
  <conditionalFormatting sqref="T33:T37">
    <cfRule type="expression" dxfId="4660" priority="4610" stopIfTrue="1">
      <formula>$A33&lt;1</formula>
    </cfRule>
  </conditionalFormatting>
  <conditionalFormatting sqref="T27:T45">
    <cfRule type="expression" dxfId="4659" priority="4609" stopIfTrue="1">
      <formula>$A27&lt;1</formula>
    </cfRule>
  </conditionalFormatting>
  <conditionalFormatting sqref="T33:T37">
    <cfRule type="expression" dxfId="4658" priority="4608" stopIfTrue="1">
      <formula>$A33&lt;1</formula>
    </cfRule>
  </conditionalFormatting>
  <conditionalFormatting sqref="T27:T45">
    <cfRule type="expression" dxfId="4657" priority="4607" stopIfTrue="1">
      <formula>$A27&lt;1</formula>
    </cfRule>
  </conditionalFormatting>
  <conditionalFormatting sqref="T33:T37">
    <cfRule type="expression" dxfId="4656" priority="4606" stopIfTrue="1">
      <formula>$A33&lt;1</formula>
    </cfRule>
  </conditionalFormatting>
  <conditionalFormatting sqref="T27:T45">
    <cfRule type="expression" dxfId="4655" priority="4605" stopIfTrue="1">
      <formula>$A27&lt;1</formula>
    </cfRule>
  </conditionalFormatting>
  <conditionalFormatting sqref="T33:T37">
    <cfRule type="expression" dxfId="4654" priority="4604" stopIfTrue="1">
      <formula>$A33&lt;1</formula>
    </cfRule>
  </conditionalFormatting>
  <conditionalFormatting sqref="T27:T45">
    <cfRule type="expression" dxfId="4653" priority="4603" stopIfTrue="1">
      <formula>$A27&lt;1</formula>
    </cfRule>
  </conditionalFormatting>
  <conditionalFormatting sqref="T33:T37">
    <cfRule type="expression" dxfId="4652" priority="4602" stopIfTrue="1">
      <formula>$A33&lt;1</formula>
    </cfRule>
  </conditionalFormatting>
  <conditionalFormatting sqref="T27:T45">
    <cfRule type="expression" dxfId="4651" priority="4601" stopIfTrue="1">
      <formula>$A27&lt;1</formula>
    </cfRule>
  </conditionalFormatting>
  <conditionalFormatting sqref="T33:T37">
    <cfRule type="expression" dxfId="4650" priority="4600" stopIfTrue="1">
      <formula>$A33&lt;1</formula>
    </cfRule>
  </conditionalFormatting>
  <conditionalFormatting sqref="T27:T45">
    <cfRule type="expression" dxfId="4649" priority="4599" stopIfTrue="1">
      <formula>$A27&lt;1</formula>
    </cfRule>
  </conditionalFormatting>
  <conditionalFormatting sqref="T33:T37">
    <cfRule type="expression" dxfId="4648" priority="4598" stopIfTrue="1">
      <formula>$A33&lt;1</formula>
    </cfRule>
  </conditionalFormatting>
  <conditionalFormatting sqref="T27:T45">
    <cfRule type="expression" dxfId="4647" priority="4597" stopIfTrue="1">
      <formula>$A27&lt;1</formula>
    </cfRule>
  </conditionalFormatting>
  <conditionalFormatting sqref="T33:T37">
    <cfRule type="expression" dxfId="4646" priority="4596" stopIfTrue="1">
      <formula>$A33&lt;1</formula>
    </cfRule>
  </conditionalFormatting>
  <conditionalFormatting sqref="T27:T45">
    <cfRule type="expression" dxfId="4645" priority="4595" stopIfTrue="1">
      <formula>$A27&lt;1</formula>
    </cfRule>
  </conditionalFormatting>
  <conditionalFormatting sqref="T33:T37">
    <cfRule type="expression" dxfId="4644" priority="4594" stopIfTrue="1">
      <formula>$A33&lt;1</formula>
    </cfRule>
  </conditionalFormatting>
  <conditionalFormatting sqref="T27:T45">
    <cfRule type="expression" dxfId="4643" priority="4593" stopIfTrue="1">
      <formula>$A27&lt;1</formula>
    </cfRule>
  </conditionalFormatting>
  <conditionalFormatting sqref="T33:T37">
    <cfRule type="expression" dxfId="4642" priority="4592" stopIfTrue="1">
      <formula>$A33&lt;1</formula>
    </cfRule>
  </conditionalFormatting>
  <conditionalFormatting sqref="T27:T45">
    <cfRule type="expression" dxfId="4641" priority="4591" stopIfTrue="1">
      <formula>$A27&lt;1</formula>
    </cfRule>
  </conditionalFormatting>
  <conditionalFormatting sqref="T33:T37">
    <cfRule type="expression" dxfId="4640" priority="4590" stopIfTrue="1">
      <formula>$A33&lt;1</formula>
    </cfRule>
  </conditionalFormatting>
  <conditionalFormatting sqref="T27:T45">
    <cfRule type="expression" dxfId="4639" priority="4589" stopIfTrue="1">
      <formula>$A27&lt;1</formula>
    </cfRule>
  </conditionalFormatting>
  <conditionalFormatting sqref="T33:T37">
    <cfRule type="expression" dxfId="4638" priority="4588" stopIfTrue="1">
      <formula>$A33&lt;1</formula>
    </cfRule>
  </conditionalFormatting>
  <conditionalFormatting sqref="T27:T45">
    <cfRule type="expression" dxfId="4637" priority="4587" stopIfTrue="1">
      <formula>$A27&lt;1</formula>
    </cfRule>
  </conditionalFormatting>
  <conditionalFormatting sqref="T33:T37">
    <cfRule type="expression" dxfId="4636" priority="4586" stopIfTrue="1">
      <formula>$A33&lt;1</formula>
    </cfRule>
  </conditionalFormatting>
  <conditionalFormatting sqref="T27:T45">
    <cfRule type="expression" dxfId="4635" priority="4585" stopIfTrue="1">
      <formula>$A27&lt;1</formula>
    </cfRule>
  </conditionalFormatting>
  <conditionalFormatting sqref="T33:T37">
    <cfRule type="expression" dxfId="4634" priority="4584" stopIfTrue="1">
      <formula>$A33&lt;1</formula>
    </cfRule>
  </conditionalFormatting>
  <conditionalFormatting sqref="T27:T45">
    <cfRule type="expression" dxfId="4633" priority="4583" stopIfTrue="1">
      <formula>$A27&lt;1</formula>
    </cfRule>
  </conditionalFormatting>
  <conditionalFormatting sqref="T33:T37">
    <cfRule type="expression" dxfId="4632" priority="4582" stopIfTrue="1">
      <formula>$A33&lt;1</formula>
    </cfRule>
  </conditionalFormatting>
  <conditionalFormatting sqref="T27:T45">
    <cfRule type="expression" dxfId="4631" priority="4581" stopIfTrue="1">
      <formula>$A27&lt;1</formula>
    </cfRule>
  </conditionalFormatting>
  <conditionalFormatting sqref="T33:T37">
    <cfRule type="expression" dxfId="4630" priority="4580" stopIfTrue="1">
      <formula>$A33&lt;1</formula>
    </cfRule>
  </conditionalFormatting>
  <conditionalFormatting sqref="T27:T45">
    <cfRule type="expression" dxfId="4629" priority="4579" stopIfTrue="1">
      <formula>$A27&lt;1</formula>
    </cfRule>
  </conditionalFormatting>
  <conditionalFormatting sqref="T33:T37">
    <cfRule type="expression" dxfId="4628" priority="4578" stopIfTrue="1">
      <formula>$A33&lt;1</formula>
    </cfRule>
  </conditionalFormatting>
  <conditionalFormatting sqref="T27:T45">
    <cfRule type="expression" dxfId="4627" priority="4577" stopIfTrue="1">
      <formula>$A27&lt;1</formula>
    </cfRule>
  </conditionalFormatting>
  <conditionalFormatting sqref="T33:T37">
    <cfRule type="expression" dxfId="4626" priority="4576" stopIfTrue="1">
      <formula>$A33&lt;1</formula>
    </cfRule>
  </conditionalFormatting>
  <conditionalFormatting sqref="T27:T45">
    <cfRule type="expression" dxfId="4625" priority="4575" stopIfTrue="1">
      <formula>$A27&lt;1</formula>
    </cfRule>
  </conditionalFormatting>
  <conditionalFormatting sqref="T33:T37">
    <cfRule type="expression" dxfId="4624" priority="4574" stopIfTrue="1">
      <formula>$A33&lt;1</formula>
    </cfRule>
  </conditionalFormatting>
  <conditionalFormatting sqref="T27:T45">
    <cfRule type="expression" dxfId="4623" priority="4573" stopIfTrue="1">
      <formula>$A27&lt;1</formula>
    </cfRule>
  </conditionalFormatting>
  <conditionalFormatting sqref="T33:T37">
    <cfRule type="expression" dxfId="4622" priority="4572" stopIfTrue="1">
      <formula>$A33&lt;1</formula>
    </cfRule>
  </conditionalFormatting>
  <conditionalFormatting sqref="T27:T45">
    <cfRule type="expression" dxfId="4621" priority="4571" stopIfTrue="1">
      <formula>$A27&lt;1</formula>
    </cfRule>
  </conditionalFormatting>
  <conditionalFormatting sqref="T33:T37">
    <cfRule type="expression" dxfId="4620" priority="4570" stopIfTrue="1">
      <formula>$A33&lt;1</formula>
    </cfRule>
  </conditionalFormatting>
  <conditionalFormatting sqref="T27:T45">
    <cfRule type="expression" dxfId="4619" priority="4569" stopIfTrue="1">
      <formula>$A27&lt;1</formula>
    </cfRule>
  </conditionalFormatting>
  <conditionalFormatting sqref="T33:T37">
    <cfRule type="expression" dxfId="4618" priority="4568" stopIfTrue="1">
      <formula>$A33&lt;1</formula>
    </cfRule>
  </conditionalFormatting>
  <conditionalFormatting sqref="T27:T45">
    <cfRule type="expression" dxfId="4617" priority="4567" stopIfTrue="1">
      <formula>$A27&lt;1</formula>
    </cfRule>
  </conditionalFormatting>
  <conditionalFormatting sqref="T33:T37">
    <cfRule type="expression" dxfId="4616" priority="4566" stopIfTrue="1">
      <formula>$A33&lt;1</formula>
    </cfRule>
  </conditionalFormatting>
  <conditionalFormatting sqref="T27:T45">
    <cfRule type="expression" dxfId="4615" priority="4565" stopIfTrue="1">
      <formula>$A27&lt;1</formula>
    </cfRule>
  </conditionalFormatting>
  <conditionalFormatting sqref="T33:T37">
    <cfRule type="expression" dxfId="4614" priority="4564" stopIfTrue="1">
      <formula>$A33&lt;1</formula>
    </cfRule>
  </conditionalFormatting>
  <conditionalFormatting sqref="T27:T45">
    <cfRule type="expression" dxfId="4613" priority="4563" stopIfTrue="1">
      <formula>$A27&lt;1</formula>
    </cfRule>
  </conditionalFormatting>
  <conditionalFormatting sqref="T33:T37">
    <cfRule type="expression" dxfId="4612" priority="4562" stopIfTrue="1">
      <formula>$A33&lt;1</formula>
    </cfRule>
  </conditionalFormatting>
  <conditionalFormatting sqref="T27:T45">
    <cfRule type="expression" dxfId="4611" priority="4561" stopIfTrue="1">
      <formula>$A27&lt;1</formula>
    </cfRule>
  </conditionalFormatting>
  <conditionalFormatting sqref="T33:T37">
    <cfRule type="expression" dxfId="4610" priority="4560" stopIfTrue="1">
      <formula>$A33&lt;1</formula>
    </cfRule>
  </conditionalFormatting>
  <conditionalFormatting sqref="T27:T45">
    <cfRule type="expression" dxfId="4609" priority="4559" stopIfTrue="1">
      <formula>$A27&lt;1</formula>
    </cfRule>
  </conditionalFormatting>
  <conditionalFormatting sqref="T33:T37">
    <cfRule type="expression" dxfId="4608" priority="4558" stopIfTrue="1">
      <formula>$A33&lt;1</formula>
    </cfRule>
  </conditionalFormatting>
  <conditionalFormatting sqref="T27:T45">
    <cfRule type="expression" dxfId="4607" priority="4557" stopIfTrue="1">
      <formula>$A27&lt;1</formula>
    </cfRule>
  </conditionalFormatting>
  <conditionalFormatting sqref="T33:T37">
    <cfRule type="expression" dxfId="4606" priority="4556" stopIfTrue="1">
      <formula>$A33&lt;1</formula>
    </cfRule>
  </conditionalFormatting>
  <conditionalFormatting sqref="T27:T45">
    <cfRule type="expression" dxfId="4605" priority="4555" stopIfTrue="1">
      <formula>$A27&lt;1</formula>
    </cfRule>
  </conditionalFormatting>
  <conditionalFormatting sqref="T33:T37">
    <cfRule type="expression" dxfId="4604" priority="4554" stopIfTrue="1">
      <formula>$A33&lt;1</formula>
    </cfRule>
  </conditionalFormatting>
  <conditionalFormatting sqref="T27:T45">
    <cfRule type="expression" dxfId="4603" priority="4553" stopIfTrue="1">
      <formula>$A27&lt;1</formula>
    </cfRule>
  </conditionalFormatting>
  <conditionalFormatting sqref="T33:T37">
    <cfRule type="expression" dxfId="4602" priority="4552" stopIfTrue="1">
      <formula>$A33&lt;1</formula>
    </cfRule>
  </conditionalFormatting>
  <conditionalFormatting sqref="T27:T45">
    <cfRule type="expression" dxfId="4601" priority="4551" stopIfTrue="1">
      <formula>$A27&lt;1</formula>
    </cfRule>
  </conditionalFormatting>
  <conditionalFormatting sqref="T33:T37">
    <cfRule type="expression" dxfId="4600" priority="4550" stopIfTrue="1">
      <formula>$A33&lt;1</formula>
    </cfRule>
  </conditionalFormatting>
  <conditionalFormatting sqref="T27:T45">
    <cfRule type="expression" dxfId="4599" priority="4549" stopIfTrue="1">
      <formula>$A27&lt;1</formula>
    </cfRule>
  </conditionalFormatting>
  <conditionalFormatting sqref="T33:T37">
    <cfRule type="expression" dxfId="4598" priority="4548" stopIfTrue="1">
      <formula>$A33&lt;1</formula>
    </cfRule>
  </conditionalFormatting>
  <conditionalFormatting sqref="T27:T45">
    <cfRule type="expression" dxfId="4597" priority="4547" stopIfTrue="1">
      <formula>$A27&lt;1</formula>
    </cfRule>
  </conditionalFormatting>
  <conditionalFormatting sqref="T33:T37">
    <cfRule type="expression" dxfId="4596" priority="4546" stopIfTrue="1">
      <formula>$A33&lt;1</formula>
    </cfRule>
  </conditionalFormatting>
  <conditionalFormatting sqref="T27:T45">
    <cfRule type="expression" dxfId="4595" priority="4545" stopIfTrue="1">
      <formula>$A27&lt;1</formula>
    </cfRule>
  </conditionalFormatting>
  <conditionalFormatting sqref="T33:T37">
    <cfRule type="expression" dxfId="4594" priority="4544" stopIfTrue="1">
      <formula>$A33&lt;1</formula>
    </cfRule>
  </conditionalFormatting>
  <conditionalFormatting sqref="T27:T45">
    <cfRule type="expression" dxfId="4593" priority="4543" stopIfTrue="1">
      <formula>$A27&lt;1</formula>
    </cfRule>
  </conditionalFormatting>
  <conditionalFormatting sqref="T33:T37">
    <cfRule type="expression" dxfId="4592" priority="4542" stopIfTrue="1">
      <formula>$A33&lt;1</formula>
    </cfRule>
  </conditionalFormatting>
  <conditionalFormatting sqref="T27:T45">
    <cfRule type="expression" dxfId="4591" priority="4541" stopIfTrue="1">
      <formula>$A27&lt;1</formula>
    </cfRule>
  </conditionalFormatting>
  <conditionalFormatting sqref="T33:T37">
    <cfRule type="expression" dxfId="4590" priority="4540" stopIfTrue="1">
      <formula>$A33&lt;1</formula>
    </cfRule>
  </conditionalFormatting>
  <conditionalFormatting sqref="T27:T45">
    <cfRule type="expression" dxfId="4589" priority="4539" stopIfTrue="1">
      <formula>$A27&lt;1</formula>
    </cfRule>
  </conditionalFormatting>
  <conditionalFormatting sqref="T33:T37">
    <cfRule type="expression" dxfId="4588" priority="4538" stopIfTrue="1">
      <formula>$A33&lt;1</formula>
    </cfRule>
  </conditionalFormatting>
  <conditionalFormatting sqref="T27:T45">
    <cfRule type="expression" dxfId="4587" priority="4537" stopIfTrue="1">
      <formula>$A27&lt;1</formula>
    </cfRule>
  </conditionalFormatting>
  <conditionalFormatting sqref="T33:T37">
    <cfRule type="expression" dxfId="4586" priority="4536" stopIfTrue="1">
      <formula>$A33&lt;1</formula>
    </cfRule>
  </conditionalFormatting>
  <conditionalFormatting sqref="T27:T45">
    <cfRule type="expression" dxfId="4585" priority="4535" stopIfTrue="1">
      <formula>$A27&lt;1</formula>
    </cfRule>
  </conditionalFormatting>
  <conditionalFormatting sqref="T33:T37">
    <cfRule type="expression" dxfId="4584" priority="4534" stopIfTrue="1">
      <formula>$A33&lt;1</formula>
    </cfRule>
  </conditionalFormatting>
  <conditionalFormatting sqref="T27:T45">
    <cfRule type="expression" dxfId="4583" priority="4533" stopIfTrue="1">
      <formula>$A27&lt;1</formula>
    </cfRule>
  </conditionalFormatting>
  <conditionalFormatting sqref="T33:T37">
    <cfRule type="expression" dxfId="4582" priority="4532" stopIfTrue="1">
      <formula>$A33&lt;1</formula>
    </cfRule>
  </conditionalFormatting>
  <conditionalFormatting sqref="T27:T45">
    <cfRule type="expression" dxfId="4581" priority="4531" stopIfTrue="1">
      <formula>$A27&lt;1</formula>
    </cfRule>
  </conditionalFormatting>
  <conditionalFormatting sqref="T33:T37">
    <cfRule type="expression" dxfId="4580" priority="4530" stopIfTrue="1">
      <formula>$A33&lt;1</formula>
    </cfRule>
  </conditionalFormatting>
  <conditionalFormatting sqref="T27:T45">
    <cfRule type="expression" dxfId="4579" priority="4529" stopIfTrue="1">
      <formula>$A27&lt;1</formula>
    </cfRule>
  </conditionalFormatting>
  <conditionalFormatting sqref="T33:T37">
    <cfRule type="expression" dxfId="4578" priority="4528" stopIfTrue="1">
      <formula>$A33&lt;1</formula>
    </cfRule>
  </conditionalFormatting>
  <conditionalFormatting sqref="T27:T45">
    <cfRule type="expression" dxfId="4577" priority="4527" stopIfTrue="1">
      <formula>$A27&lt;1</formula>
    </cfRule>
  </conditionalFormatting>
  <conditionalFormatting sqref="T33:T37">
    <cfRule type="expression" dxfId="4576" priority="4526" stopIfTrue="1">
      <formula>$A33&lt;1</formula>
    </cfRule>
  </conditionalFormatting>
  <conditionalFormatting sqref="T27:T45">
    <cfRule type="expression" dxfId="4575" priority="4525" stopIfTrue="1">
      <formula>$A27&lt;1</formula>
    </cfRule>
  </conditionalFormatting>
  <conditionalFormatting sqref="T33:T37">
    <cfRule type="expression" dxfId="4574" priority="4524" stopIfTrue="1">
      <formula>$A33&lt;1</formula>
    </cfRule>
  </conditionalFormatting>
  <conditionalFormatting sqref="T27:T45">
    <cfRule type="expression" dxfId="4573" priority="4523" stopIfTrue="1">
      <formula>$A27&lt;1</formula>
    </cfRule>
  </conditionalFormatting>
  <conditionalFormatting sqref="T33:T37">
    <cfRule type="expression" dxfId="4572" priority="4522" stopIfTrue="1">
      <formula>$A33&lt;1</formula>
    </cfRule>
  </conditionalFormatting>
  <conditionalFormatting sqref="T27:T45">
    <cfRule type="expression" dxfId="4571" priority="4521" stopIfTrue="1">
      <formula>$A27&lt;1</formula>
    </cfRule>
  </conditionalFormatting>
  <conditionalFormatting sqref="T33:T37">
    <cfRule type="expression" dxfId="4570" priority="4520" stopIfTrue="1">
      <formula>$A33&lt;1</formula>
    </cfRule>
  </conditionalFormatting>
  <conditionalFormatting sqref="T27:T45">
    <cfRule type="expression" dxfId="4569" priority="4519" stopIfTrue="1">
      <formula>$A27&lt;1</formula>
    </cfRule>
  </conditionalFormatting>
  <conditionalFormatting sqref="T33:T37">
    <cfRule type="expression" dxfId="4568" priority="4518" stopIfTrue="1">
      <formula>$A33&lt;1</formula>
    </cfRule>
  </conditionalFormatting>
  <conditionalFormatting sqref="T27:T45">
    <cfRule type="expression" dxfId="4567" priority="4517" stopIfTrue="1">
      <formula>$A27&lt;1</formula>
    </cfRule>
  </conditionalFormatting>
  <conditionalFormatting sqref="T33:T37">
    <cfRule type="expression" dxfId="4566" priority="4516" stopIfTrue="1">
      <formula>$A33&lt;1</formula>
    </cfRule>
  </conditionalFormatting>
  <conditionalFormatting sqref="T27:T45">
    <cfRule type="expression" dxfId="4565" priority="4515" stopIfTrue="1">
      <formula>$A27&lt;1</formula>
    </cfRule>
  </conditionalFormatting>
  <conditionalFormatting sqref="T33:T37">
    <cfRule type="expression" dxfId="4564" priority="4514" stopIfTrue="1">
      <formula>$A33&lt;1</formula>
    </cfRule>
  </conditionalFormatting>
  <conditionalFormatting sqref="T27:T45">
    <cfRule type="expression" dxfId="4563" priority="4513" stopIfTrue="1">
      <formula>$A27&lt;1</formula>
    </cfRule>
  </conditionalFormatting>
  <conditionalFormatting sqref="T33:T37">
    <cfRule type="expression" dxfId="4562" priority="4512" stopIfTrue="1">
      <formula>$A33&lt;1</formula>
    </cfRule>
  </conditionalFormatting>
  <conditionalFormatting sqref="T27:T45">
    <cfRule type="expression" dxfId="4561" priority="4511" stopIfTrue="1">
      <formula>$A27&lt;1</formula>
    </cfRule>
  </conditionalFormatting>
  <conditionalFormatting sqref="T33:T37">
    <cfRule type="expression" dxfId="4560" priority="4510" stopIfTrue="1">
      <formula>$A33&lt;1</formula>
    </cfRule>
  </conditionalFormatting>
  <conditionalFormatting sqref="T27:T45">
    <cfRule type="expression" dxfId="4559" priority="4509" stopIfTrue="1">
      <formula>$A27&lt;1</formula>
    </cfRule>
  </conditionalFormatting>
  <conditionalFormatting sqref="T33:T37">
    <cfRule type="expression" dxfId="4558" priority="4508" stopIfTrue="1">
      <formula>$A33&lt;1</formula>
    </cfRule>
  </conditionalFormatting>
  <conditionalFormatting sqref="T27:T45">
    <cfRule type="expression" dxfId="4557" priority="4507" stopIfTrue="1">
      <formula>$A27&lt;1</formula>
    </cfRule>
  </conditionalFormatting>
  <conditionalFormatting sqref="T33:T37">
    <cfRule type="expression" dxfId="4556" priority="4506" stopIfTrue="1">
      <formula>$A33&lt;1</formula>
    </cfRule>
  </conditionalFormatting>
  <conditionalFormatting sqref="T27:T45">
    <cfRule type="expression" dxfId="4555" priority="4505" stopIfTrue="1">
      <formula>$A27&lt;1</formula>
    </cfRule>
  </conditionalFormatting>
  <conditionalFormatting sqref="T33:T37">
    <cfRule type="expression" dxfId="4554" priority="4504" stopIfTrue="1">
      <formula>$A33&lt;1</formula>
    </cfRule>
  </conditionalFormatting>
  <conditionalFormatting sqref="T27:T45">
    <cfRule type="expression" dxfId="4553" priority="4503" stopIfTrue="1">
      <formula>$A27&lt;1</formula>
    </cfRule>
  </conditionalFormatting>
  <conditionalFormatting sqref="T33:T37">
    <cfRule type="expression" dxfId="4552" priority="4502" stopIfTrue="1">
      <formula>$A33&lt;1</formula>
    </cfRule>
  </conditionalFormatting>
  <conditionalFormatting sqref="T27:T45">
    <cfRule type="expression" dxfId="4551" priority="4501" stopIfTrue="1">
      <formula>$A27&lt;1</formula>
    </cfRule>
  </conditionalFormatting>
  <conditionalFormatting sqref="T33:T37">
    <cfRule type="expression" dxfId="4550" priority="4500" stopIfTrue="1">
      <formula>$A33&lt;1</formula>
    </cfRule>
  </conditionalFormatting>
  <conditionalFormatting sqref="T27:T45">
    <cfRule type="expression" dxfId="4549" priority="4499" stopIfTrue="1">
      <formula>$A27&lt;1</formula>
    </cfRule>
  </conditionalFormatting>
  <conditionalFormatting sqref="T33:T37">
    <cfRule type="expression" dxfId="4548" priority="4498" stopIfTrue="1">
      <formula>$A33&lt;1</formula>
    </cfRule>
  </conditionalFormatting>
  <conditionalFormatting sqref="T27:T45">
    <cfRule type="expression" dxfId="4547" priority="4497" stopIfTrue="1">
      <formula>$A27&lt;1</formula>
    </cfRule>
  </conditionalFormatting>
  <conditionalFormatting sqref="T33:T37">
    <cfRule type="expression" dxfId="4546" priority="4496" stopIfTrue="1">
      <formula>$A33&lt;1</formula>
    </cfRule>
  </conditionalFormatting>
  <conditionalFormatting sqref="T27:T45">
    <cfRule type="expression" dxfId="4545" priority="4495" stopIfTrue="1">
      <formula>$A27&lt;1</formula>
    </cfRule>
  </conditionalFormatting>
  <conditionalFormatting sqref="T33:T37">
    <cfRule type="expression" dxfId="4544" priority="4494" stopIfTrue="1">
      <formula>$A33&lt;1</formula>
    </cfRule>
  </conditionalFormatting>
  <conditionalFormatting sqref="T27:T45">
    <cfRule type="expression" dxfId="4543" priority="4493" stopIfTrue="1">
      <formula>$A27&lt;1</formula>
    </cfRule>
  </conditionalFormatting>
  <conditionalFormatting sqref="T33:T37">
    <cfRule type="expression" dxfId="4542" priority="4492" stopIfTrue="1">
      <formula>$A33&lt;1</formula>
    </cfRule>
  </conditionalFormatting>
  <conditionalFormatting sqref="T27:T45">
    <cfRule type="expression" dxfId="4541" priority="4491" stopIfTrue="1">
      <formula>$A27&lt;1</formula>
    </cfRule>
  </conditionalFormatting>
  <conditionalFormatting sqref="T33:T37">
    <cfRule type="expression" dxfId="4540" priority="4490" stopIfTrue="1">
      <formula>$A33&lt;1</formula>
    </cfRule>
  </conditionalFormatting>
  <conditionalFormatting sqref="T27:T45">
    <cfRule type="expression" dxfId="4539" priority="4489" stopIfTrue="1">
      <formula>$A27&lt;1</formula>
    </cfRule>
  </conditionalFormatting>
  <conditionalFormatting sqref="T33:T37">
    <cfRule type="expression" dxfId="4538" priority="4488" stopIfTrue="1">
      <formula>$A33&lt;1</formula>
    </cfRule>
  </conditionalFormatting>
  <conditionalFormatting sqref="T27:T45">
    <cfRule type="expression" dxfId="4537" priority="4487" stopIfTrue="1">
      <formula>$A27&lt;1</formula>
    </cfRule>
  </conditionalFormatting>
  <conditionalFormatting sqref="T33:T37">
    <cfRule type="expression" dxfId="4536" priority="4486" stopIfTrue="1">
      <formula>$A33&lt;1</formula>
    </cfRule>
  </conditionalFormatting>
  <conditionalFormatting sqref="T27:T45">
    <cfRule type="expression" dxfId="4535" priority="4485" stopIfTrue="1">
      <formula>$A27&lt;1</formula>
    </cfRule>
  </conditionalFormatting>
  <conditionalFormatting sqref="T33:T37">
    <cfRule type="expression" dxfId="4534" priority="4484" stopIfTrue="1">
      <formula>$A33&lt;1</formula>
    </cfRule>
  </conditionalFormatting>
  <conditionalFormatting sqref="T27:T45">
    <cfRule type="expression" dxfId="4533" priority="4483" stopIfTrue="1">
      <formula>$A27&lt;1</formula>
    </cfRule>
  </conditionalFormatting>
  <conditionalFormatting sqref="T33:T37">
    <cfRule type="expression" dxfId="4532" priority="4482" stopIfTrue="1">
      <formula>$A33&lt;1</formula>
    </cfRule>
  </conditionalFormatting>
  <conditionalFormatting sqref="T27:T45">
    <cfRule type="expression" dxfId="4531" priority="4481" stopIfTrue="1">
      <formula>$A27&lt;1</formula>
    </cfRule>
  </conditionalFormatting>
  <conditionalFormatting sqref="T33:T37">
    <cfRule type="expression" dxfId="4530" priority="4480" stopIfTrue="1">
      <formula>$A33&lt;1</formula>
    </cfRule>
  </conditionalFormatting>
  <conditionalFormatting sqref="T27:T45">
    <cfRule type="expression" dxfId="4529" priority="4479" stopIfTrue="1">
      <formula>$A27&lt;1</formula>
    </cfRule>
  </conditionalFormatting>
  <conditionalFormatting sqref="T33:T37">
    <cfRule type="expression" dxfId="4528" priority="4478" stopIfTrue="1">
      <formula>$A33&lt;1</formula>
    </cfRule>
  </conditionalFormatting>
  <conditionalFormatting sqref="T27:T45">
    <cfRule type="expression" dxfId="4527" priority="4477" stopIfTrue="1">
      <formula>$A27&lt;1</formula>
    </cfRule>
  </conditionalFormatting>
  <conditionalFormatting sqref="T33:T37">
    <cfRule type="expression" dxfId="4526" priority="4476" stopIfTrue="1">
      <formula>$A33&lt;1</formula>
    </cfRule>
  </conditionalFormatting>
  <conditionalFormatting sqref="T27:T45">
    <cfRule type="expression" dxfId="4525" priority="4475" stopIfTrue="1">
      <formula>$A27&lt;1</formula>
    </cfRule>
  </conditionalFormatting>
  <conditionalFormatting sqref="T33:T37">
    <cfRule type="expression" dxfId="4524" priority="4474" stopIfTrue="1">
      <formula>$A33&lt;1</formula>
    </cfRule>
  </conditionalFormatting>
  <conditionalFormatting sqref="T27:T45">
    <cfRule type="expression" dxfId="4523" priority="4473" stopIfTrue="1">
      <formula>$A27&lt;1</formula>
    </cfRule>
  </conditionalFormatting>
  <conditionalFormatting sqref="T33:T37">
    <cfRule type="expression" dxfId="4522" priority="4472" stopIfTrue="1">
      <formula>$A33&lt;1</formula>
    </cfRule>
  </conditionalFormatting>
  <conditionalFormatting sqref="T27:T45">
    <cfRule type="expression" dxfId="4521" priority="4471" stopIfTrue="1">
      <formula>$A27&lt;1</formula>
    </cfRule>
  </conditionalFormatting>
  <conditionalFormatting sqref="T33:T37">
    <cfRule type="expression" dxfId="4520" priority="4470" stopIfTrue="1">
      <formula>$A33&lt;1</formula>
    </cfRule>
  </conditionalFormatting>
  <conditionalFormatting sqref="T27:T45">
    <cfRule type="expression" dxfId="4519" priority="4469" stopIfTrue="1">
      <formula>$A27&lt;1</formula>
    </cfRule>
  </conditionalFormatting>
  <conditionalFormatting sqref="T33:T37">
    <cfRule type="expression" dxfId="4518" priority="4468" stopIfTrue="1">
      <formula>$A33&lt;1</formula>
    </cfRule>
  </conditionalFormatting>
  <conditionalFormatting sqref="T27:T45">
    <cfRule type="expression" dxfId="4517" priority="4467" stopIfTrue="1">
      <formula>$A27&lt;1</formula>
    </cfRule>
  </conditionalFormatting>
  <conditionalFormatting sqref="T33:T37">
    <cfRule type="expression" dxfId="4516" priority="4466" stopIfTrue="1">
      <formula>$A33&lt;1</formula>
    </cfRule>
  </conditionalFormatting>
  <conditionalFormatting sqref="T27:T45">
    <cfRule type="expression" dxfId="4515" priority="4465" stopIfTrue="1">
      <formula>$A27&lt;1</formula>
    </cfRule>
  </conditionalFormatting>
  <conditionalFormatting sqref="T33:T37">
    <cfRule type="expression" dxfId="4514" priority="4464" stopIfTrue="1">
      <formula>$A33&lt;1</formula>
    </cfRule>
  </conditionalFormatting>
  <conditionalFormatting sqref="T27:T45">
    <cfRule type="expression" dxfId="4513" priority="4463" stopIfTrue="1">
      <formula>$A27&lt;1</formula>
    </cfRule>
  </conditionalFormatting>
  <conditionalFormatting sqref="T33:T37">
    <cfRule type="expression" dxfId="4512" priority="4462" stopIfTrue="1">
      <formula>$A33&lt;1</formula>
    </cfRule>
  </conditionalFormatting>
  <conditionalFormatting sqref="T27:T45">
    <cfRule type="expression" dxfId="4511" priority="4461" stopIfTrue="1">
      <formula>$A27&lt;1</formula>
    </cfRule>
  </conditionalFormatting>
  <conditionalFormatting sqref="T33:T37">
    <cfRule type="expression" dxfId="4510" priority="4460" stopIfTrue="1">
      <formula>$A33&lt;1</formula>
    </cfRule>
  </conditionalFormatting>
  <conditionalFormatting sqref="T27:T45">
    <cfRule type="expression" dxfId="4509" priority="4459" stopIfTrue="1">
      <formula>$A27&lt;1</formula>
    </cfRule>
  </conditionalFormatting>
  <conditionalFormatting sqref="T33:T37">
    <cfRule type="expression" dxfId="4508" priority="4458" stopIfTrue="1">
      <formula>$A33&lt;1</formula>
    </cfRule>
  </conditionalFormatting>
  <conditionalFormatting sqref="T27:T45">
    <cfRule type="expression" dxfId="4507" priority="4457" stopIfTrue="1">
      <formula>$A27&lt;1</formula>
    </cfRule>
  </conditionalFormatting>
  <conditionalFormatting sqref="T33:T37">
    <cfRule type="expression" dxfId="4506" priority="4456" stopIfTrue="1">
      <formula>$A33&lt;1</formula>
    </cfRule>
  </conditionalFormatting>
  <conditionalFormatting sqref="T27:T45">
    <cfRule type="expression" dxfId="4505" priority="4455" stopIfTrue="1">
      <formula>$A27&lt;1</formula>
    </cfRule>
  </conditionalFormatting>
  <conditionalFormatting sqref="T33:T37">
    <cfRule type="expression" dxfId="4504" priority="4454" stopIfTrue="1">
      <formula>$A33&lt;1</formula>
    </cfRule>
  </conditionalFormatting>
  <conditionalFormatting sqref="T27:T45">
    <cfRule type="expression" dxfId="4503" priority="4453" stopIfTrue="1">
      <formula>$A27&lt;1</formula>
    </cfRule>
  </conditionalFormatting>
  <conditionalFormatting sqref="T33:T37">
    <cfRule type="expression" dxfId="4502" priority="4452" stopIfTrue="1">
      <formula>$A33&lt;1</formula>
    </cfRule>
  </conditionalFormatting>
  <conditionalFormatting sqref="T27:T45">
    <cfRule type="expression" dxfId="4501" priority="4451" stopIfTrue="1">
      <formula>$A27&lt;1</formula>
    </cfRule>
  </conditionalFormatting>
  <conditionalFormatting sqref="T33:T37">
    <cfRule type="expression" dxfId="4500" priority="4450" stopIfTrue="1">
      <formula>$A33&lt;1</formula>
    </cfRule>
  </conditionalFormatting>
  <conditionalFormatting sqref="T27:T45">
    <cfRule type="expression" dxfId="4499" priority="4449" stopIfTrue="1">
      <formula>$A27&lt;1</formula>
    </cfRule>
  </conditionalFormatting>
  <conditionalFormatting sqref="T33:T37">
    <cfRule type="expression" dxfId="4498" priority="4448" stopIfTrue="1">
      <formula>$A33&lt;1</formula>
    </cfRule>
  </conditionalFormatting>
  <conditionalFormatting sqref="T27:T45">
    <cfRule type="expression" dxfId="4497" priority="4447" stopIfTrue="1">
      <formula>$A27&lt;1</formula>
    </cfRule>
  </conditionalFormatting>
  <conditionalFormatting sqref="T33:T37">
    <cfRule type="expression" dxfId="4496" priority="4446" stopIfTrue="1">
      <formula>$A33&lt;1</formula>
    </cfRule>
  </conditionalFormatting>
  <conditionalFormatting sqref="T27:T45">
    <cfRule type="expression" dxfId="4495" priority="4445" stopIfTrue="1">
      <formula>$A27&lt;1</formula>
    </cfRule>
  </conditionalFormatting>
  <conditionalFormatting sqref="T33:T37">
    <cfRule type="expression" dxfId="4494" priority="4444" stopIfTrue="1">
      <formula>$A33&lt;1</formula>
    </cfRule>
  </conditionalFormatting>
  <conditionalFormatting sqref="T27:T45">
    <cfRule type="expression" dxfId="4493" priority="4443" stopIfTrue="1">
      <formula>$A27&lt;1</formula>
    </cfRule>
  </conditionalFormatting>
  <conditionalFormatting sqref="T33:T37">
    <cfRule type="expression" dxfId="4492" priority="4442" stopIfTrue="1">
      <formula>$A33&lt;1</formula>
    </cfRule>
  </conditionalFormatting>
  <conditionalFormatting sqref="T27:T45">
    <cfRule type="expression" dxfId="4491" priority="4441" stopIfTrue="1">
      <formula>$A27&lt;1</formula>
    </cfRule>
  </conditionalFormatting>
  <conditionalFormatting sqref="T33:T37">
    <cfRule type="expression" dxfId="4490" priority="4440" stopIfTrue="1">
      <formula>$A33&lt;1</formula>
    </cfRule>
  </conditionalFormatting>
  <conditionalFormatting sqref="T27:T45">
    <cfRule type="expression" dxfId="4489" priority="4439" stopIfTrue="1">
      <formula>$A27&lt;1</formula>
    </cfRule>
  </conditionalFormatting>
  <conditionalFormatting sqref="T33:T37">
    <cfRule type="expression" dxfId="4488" priority="4438" stopIfTrue="1">
      <formula>$A33&lt;1</formula>
    </cfRule>
  </conditionalFormatting>
  <conditionalFormatting sqref="T27:T45">
    <cfRule type="expression" dxfId="4487" priority="4437" stopIfTrue="1">
      <formula>$A27&lt;1</formula>
    </cfRule>
  </conditionalFormatting>
  <conditionalFormatting sqref="T33:T37">
    <cfRule type="expression" dxfId="4486" priority="4436" stopIfTrue="1">
      <formula>$A33&lt;1</formula>
    </cfRule>
  </conditionalFormatting>
  <conditionalFormatting sqref="T27:T45">
    <cfRule type="expression" dxfId="4485" priority="4435" stopIfTrue="1">
      <formula>$A27&lt;1</formula>
    </cfRule>
  </conditionalFormatting>
  <conditionalFormatting sqref="T33:T37">
    <cfRule type="expression" dxfId="4484" priority="4434" stopIfTrue="1">
      <formula>$A33&lt;1</formula>
    </cfRule>
  </conditionalFormatting>
  <conditionalFormatting sqref="T27:T45">
    <cfRule type="expression" dxfId="4483" priority="4433" stopIfTrue="1">
      <formula>$A27&lt;1</formula>
    </cfRule>
  </conditionalFormatting>
  <conditionalFormatting sqref="T33:T37">
    <cfRule type="expression" dxfId="4482" priority="4432" stopIfTrue="1">
      <formula>$A33&lt;1</formula>
    </cfRule>
  </conditionalFormatting>
  <conditionalFormatting sqref="T27:T45">
    <cfRule type="expression" dxfId="4481" priority="4431" stopIfTrue="1">
      <formula>$A27&lt;1</formula>
    </cfRule>
  </conditionalFormatting>
  <conditionalFormatting sqref="T33:T37">
    <cfRule type="expression" dxfId="4480" priority="4430" stopIfTrue="1">
      <formula>$A33&lt;1</formula>
    </cfRule>
  </conditionalFormatting>
  <conditionalFormatting sqref="T27:T45">
    <cfRule type="expression" dxfId="4479" priority="4429" stopIfTrue="1">
      <formula>$A27&lt;1</formula>
    </cfRule>
  </conditionalFormatting>
  <conditionalFormatting sqref="T33:T37">
    <cfRule type="expression" dxfId="4478" priority="4428" stopIfTrue="1">
      <formula>$A33&lt;1</formula>
    </cfRule>
  </conditionalFormatting>
  <conditionalFormatting sqref="T27:T45">
    <cfRule type="expression" dxfId="4477" priority="4427" stopIfTrue="1">
      <formula>$A27&lt;1</formula>
    </cfRule>
  </conditionalFormatting>
  <conditionalFormatting sqref="T33:T37">
    <cfRule type="expression" dxfId="4476" priority="4426" stopIfTrue="1">
      <formula>$A33&lt;1</formula>
    </cfRule>
  </conditionalFormatting>
  <conditionalFormatting sqref="T27:T45">
    <cfRule type="expression" dxfId="4475" priority="4425" stopIfTrue="1">
      <formula>$A27&lt;1</formula>
    </cfRule>
  </conditionalFormatting>
  <conditionalFormatting sqref="T33:T37">
    <cfRule type="expression" dxfId="4474" priority="4424" stopIfTrue="1">
      <formula>$A33&lt;1</formula>
    </cfRule>
  </conditionalFormatting>
  <conditionalFormatting sqref="T27:T45">
    <cfRule type="expression" dxfId="4473" priority="4423" stopIfTrue="1">
      <formula>$A27&lt;1</formula>
    </cfRule>
  </conditionalFormatting>
  <conditionalFormatting sqref="T33:T37">
    <cfRule type="expression" dxfId="4472" priority="4422" stopIfTrue="1">
      <formula>$A33&lt;1</formula>
    </cfRule>
  </conditionalFormatting>
  <conditionalFormatting sqref="T27:T45">
    <cfRule type="expression" dxfId="4471" priority="4421" stopIfTrue="1">
      <formula>$A27&lt;1</formula>
    </cfRule>
  </conditionalFormatting>
  <conditionalFormatting sqref="T33:T37">
    <cfRule type="expression" dxfId="4470" priority="4420" stopIfTrue="1">
      <formula>$A33&lt;1</formula>
    </cfRule>
  </conditionalFormatting>
  <conditionalFormatting sqref="T27:T45">
    <cfRule type="expression" dxfId="4469" priority="4419" stopIfTrue="1">
      <formula>$A27&lt;1</formula>
    </cfRule>
  </conditionalFormatting>
  <conditionalFormatting sqref="T33:T37">
    <cfRule type="expression" dxfId="4468" priority="4418" stopIfTrue="1">
      <formula>$A33&lt;1</formula>
    </cfRule>
  </conditionalFormatting>
  <conditionalFormatting sqref="T27:T45">
    <cfRule type="expression" dxfId="4467" priority="4417" stopIfTrue="1">
      <formula>$A27&lt;1</formula>
    </cfRule>
  </conditionalFormatting>
  <conditionalFormatting sqref="T33:T37">
    <cfRule type="expression" dxfId="4466" priority="4416" stopIfTrue="1">
      <formula>$A33&lt;1</formula>
    </cfRule>
  </conditionalFormatting>
  <conditionalFormatting sqref="T27:T45">
    <cfRule type="expression" dxfId="4465" priority="4415" stopIfTrue="1">
      <formula>$A27&lt;1</formula>
    </cfRule>
  </conditionalFormatting>
  <conditionalFormatting sqref="T33:T37">
    <cfRule type="expression" dxfId="4464" priority="4414" stopIfTrue="1">
      <formula>$A33&lt;1</formula>
    </cfRule>
  </conditionalFormatting>
  <conditionalFormatting sqref="T27:T45">
    <cfRule type="expression" dxfId="4463" priority="4413" stopIfTrue="1">
      <formula>$A27&lt;1</formula>
    </cfRule>
  </conditionalFormatting>
  <conditionalFormatting sqref="T33:T37">
    <cfRule type="expression" dxfId="4462" priority="4412" stopIfTrue="1">
      <formula>$A33&lt;1</formula>
    </cfRule>
  </conditionalFormatting>
  <conditionalFormatting sqref="T27:T45">
    <cfRule type="expression" dxfId="4461" priority="4411" stopIfTrue="1">
      <formula>$A27&lt;1</formula>
    </cfRule>
  </conditionalFormatting>
  <conditionalFormatting sqref="T33:T37">
    <cfRule type="expression" dxfId="4460" priority="4410" stopIfTrue="1">
      <formula>$A33&lt;1</formula>
    </cfRule>
  </conditionalFormatting>
  <conditionalFormatting sqref="T27:T45">
    <cfRule type="expression" dxfId="4459" priority="4409" stopIfTrue="1">
      <formula>$A27&lt;1</formula>
    </cfRule>
  </conditionalFormatting>
  <conditionalFormatting sqref="T33:T37">
    <cfRule type="expression" dxfId="4458" priority="4408" stopIfTrue="1">
      <formula>$A33&lt;1</formula>
    </cfRule>
  </conditionalFormatting>
  <conditionalFormatting sqref="T27:T45">
    <cfRule type="expression" dxfId="4457" priority="4407" stopIfTrue="1">
      <formula>$A27&lt;1</formula>
    </cfRule>
  </conditionalFormatting>
  <conditionalFormatting sqref="T33:T37">
    <cfRule type="expression" dxfId="4456" priority="4406" stopIfTrue="1">
      <formula>$A33&lt;1</formula>
    </cfRule>
  </conditionalFormatting>
  <conditionalFormatting sqref="T27:T45">
    <cfRule type="expression" dxfId="4455" priority="4405" stopIfTrue="1">
      <formula>$A27&lt;1</formula>
    </cfRule>
  </conditionalFormatting>
  <conditionalFormatting sqref="T33:T37">
    <cfRule type="expression" dxfId="4454" priority="4404" stopIfTrue="1">
      <formula>$A33&lt;1</formula>
    </cfRule>
  </conditionalFormatting>
  <conditionalFormatting sqref="T27:T45">
    <cfRule type="expression" dxfId="4453" priority="4403" stopIfTrue="1">
      <formula>$A27&lt;1</formula>
    </cfRule>
  </conditionalFormatting>
  <conditionalFormatting sqref="T33:T37">
    <cfRule type="expression" dxfId="4452" priority="4402" stopIfTrue="1">
      <formula>$A33&lt;1</formula>
    </cfRule>
  </conditionalFormatting>
  <conditionalFormatting sqref="T27:T45">
    <cfRule type="expression" dxfId="4451" priority="4401" stopIfTrue="1">
      <formula>$A27&lt;1</formula>
    </cfRule>
  </conditionalFormatting>
  <conditionalFormatting sqref="T33:T37">
    <cfRule type="expression" dxfId="4450" priority="4400" stopIfTrue="1">
      <formula>$A33&lt;1</formula>
    </cfRule>
  </conditionalFormatting>
  <conditionalFormatting sqref="T27:T45">
    <cfRule type="expression" dxfId="4449" priority="4399" stopIfTrue="1">
      <formula>$A27&lt;1</formula>
    </cfRule>
  </conditionalFormatting>
  <conditionalFormatting sqref="T33:T37">
    <cfRule type="expression" dxfId="4448" priority="4398" stopIfTrue="1">
      <formula>$A33&lt;1</formula>
    </cfRule>
  </conditionalFormatting>
  <conditionalFormatting sqref="T27:T45">
    <cfRule type="expression" dxfId="4447" priority="4397" stopIfTrue="1">
      <formula>$A27&lt;1</formula>
    </cfRule>
  </conditionalFormatting>
  <conditionalFormatting sqref="T33:T37">
    <cfRule type="expression" dxfId="4446" priority="4396" stopIfTrue="1">
      <formula>$A33&lt;1</formula>
    </cfRule>
  </conditionalFormatting>
  <conditionalFormatting sqref="T27:T45">
    <cfRule type="expression" dxfId="4445" priority="4395" stopIfTrue="1">
      <formula>$A27&lt;1</formula>
    </cfRule>
  </conditionalFormatting>
  <conditionalFormatting sqref="T33:T37">
    <cfRule type="expression" dxfId="4444" priority="4394" stopIfTrue="1">
      <formula>$A33&lt;1</formula>
    </cfRule>
  </conditionalFormatting>
  <conditionalFormatting sqref="T27:T45">
    <cfRule type="expression" dxfId="4443" priority="4393" stopIfTrue="1">
      <formula>$A27&lt;1</formula>
    </cfRule>
  </conditionalFormatting>
  <conditionalFormatting sqref="T33:T37">
    <cfRule type="expression" dxfId="4442" priority="4392" stopIfTrue="1">
      <formula>$A33&lt;1</formula>
    </cfRule>
  </conditionalFormatting>
  <conditionalFormatting sqref="T27:T45">
    <cfRule type="expression" dxfId="4441" priority="4391" stopIfTrue="1">
      <formula>$A27&lt;1</formula>
    </cfRule>
  </conditionalFormatting>
  <conditionalFormatting sqref="T33:T37">
    <cfRule type="expression" dxfId="4440" priority="4390" stopIfTrue="1">
      <formula>$A33&lt;1</formula>
    </cfRule>
  </conditionalFormatting>
  <conditionalFormatting sqref="T27:T45">
    <cfRule type="expression" dxfId="4439" priority="4389" stopIfTrue="1">
      <formula>$A27&lt;1</formula>
    </cfRule>
  </conditionalFormatting>
  <conditionalFormatting sqref="T33:T37">
    <cfRule type="expression" dxfId="4438" priority="4388" stopIfTrue="1">
      <formula>$A33&lt;1</formula>
    </cfRule>
  </conditionalFormatting>
  <conditionalFormatting sqref="T27:T45">
    <cfRule type="expression" dxfId="4437" priority="4387" stopIfTrue="1">
      <formula>$A27&lt;1</formula>
    </cfRule>
  </conditionalFormatting>
  <conditionalFormatting sqref="T33:T37">
    <cfRule type="expression" dxfId="4436" priority="4386" stopIfTrue="1">
      <formula>$A33&lt;1</formula>
    </cfRule>
  </conditionalFormatting>
  <conditionalFormatting sqref="T27:T45">
    <cfRule type="expression" dxfId="4435" priority="4385" stopIfTrue="1">
      <formula>$A27&lt;1</formula>
    </cfRule>
  </conditionalFormatting>
  <conditionalFormatting sqref="T33:T37">
    <cfRule type="expression" dxfId="4434" priority="4384" stopIfTrue="1">
      <formula>$A33&lt;1</formula>
    </cfRule>
  </conditionalFormatting>
  <conditionalFormatting sqref="T27:T45">
    <cfRule type="expression" dxfId="4433" priority="4383" stopIfTrue="1">
      <formula>$A27&lt;1</formula>
    </cfRule>
  </conditionalFormatting>
  <conditionalFormatting sqref="T33:T37">
    <cfRule type="expression" dxfId="4432" priority="4382" stopIfTrue="1">
      <formula>$A33&lt;1</formula>
    </cfRule>
  </conditionalFormatting>
  <conditionalFormatting sqref="T27:T45">
    <cfRule type="expression" dxfId="4431" priority="4381" stopIfTrue="1">
      <formula>$A27&lt;1</formula>
    </cfRule>
  </conditionalFormatting>
  <conditionalFormatting sqref="T33:T37">
    <cfRule type="expression" dxfId="4430" priority="4380" stopIfTrue="1">
      <formula>$A33&lt;1</formula>
    </cfRule>
  </conditionalFormatting>
  <conditionalFormatting sqref="T27:T45">
    <cfRule type="expression" dxfId="4429" priority="4379" stopIfTrue="1">
      <formula>$A27&lt;1</formula>
    </cfRule>
  </conditionalFormatting>
  <conditionalFormatting sqref="T33:T37">
    <cfRule type="expression" dxfId="4428" priority="4378" stopIfTrue="1">
      <formula>$A33&lt;1</formula>
    </cfRule>
  </conditionalFormatting>
  <conditionalFormatting sqref="T27:T45">
    <cfRule type="expression" dxfId="4427" priority="4377" stopIfTrue="1">
      <formula>$A27&lt;1</formula>
    </cfRule>
  </conditionalFormatting>
  <conditionalFormatting sqref="T33:T37">
    <cfRule type="expression" dxfId="4426" priority="4376" stopIfTrue="1">
      <formula>$A33&lt;1</formula>
    </cfRule>
  </conditionalFormatting>
  <conditionalFormatting sqref="T27:T45">
    <cfRule type="expression" dxfId="4425" priority="4375" stopIfTrue="1">
      <formula>$A27&lt;1</formula>
    </cfRule>
  </conditionalFormatting>
  <conditionalFormatting sqref="T33:T37">
    <cfRule type="expression" dxfId="4424" priority="4374" stopIfTrue="1">
      <formula>$A33&lt;1</formula>
    </cfRule>
  </conditionalFormatting>
  <conditionalFormatting sqref="T27:T45">
    <cfRule type="expression" dxfId="4423" priority="4373" stopIfTrue="1">
      <formula>$A27&lt;1</formula>
    </cfRule>
  </conditionalFormatting>
  <conditionalFormatting sqref="T33:T37">
    <cfRule type="expression" dxfId="4422" priority="4372" stopIfTrue="1">
      <formula>$A33&lt;1</formula>
    </cfRule>
  </conditionalFormatting>
  <conditionalFormatting sqref="T27:T45">
    <cfRule type="expression" dxfId="4421" priority="4371" stopIfTrue="1">
      <formula>$A27&lt;1</formula>
    </cfRule>
  </conditionalFormatting>
  <conditionalFormatting sqref="T33:T37">
    <cfRule type="expression" dxfId="4420" priority="4370" stopIfTrue="1">
      <formula>$A33&lt;1</formula>
    </cfRule>
  </conditionalFormatting>
  <conditionalFormatting sqref="T27:T45">
    <cfRule type="expression" dxfId="4419" priority="4369" stopIfTrue="1">
      <formula>$A27&lt;1</formula>
    </cfRule>
  </conditionalFormatting>
  <conditionalFormatting sqref="T33:T37">
    <cfRule type="expression" dxfId="4418" priority="4368" stopIfTrue="1">
      <formula>$A33&lt;1</formula>
    </cfRule>
  </conditionalFormatting>
  <conditionalFormatting sqref="T27:T45">
    <cfRule type="expression" dxfId="4417" priority="4367" stopIfTrue="1">
      <formula>$A27&lt;1</formula>
    </cfRule>
  </conditionalFormatting>
  <conditionalFormatting sqref="T33:T37">
    <cfRule type="expression" dxfId="4416" priority="4366" stopIfTrue="1">
      <formula>$A33&lt;1</formula>
    </cfRule>
  </conditionalFormatting>
  <conditionalFormatting sqref="T27:T45">
    <cfRule type="expression" dxfId="4415" priority="4365" stopIfTrue="1">
      <formula>$A27&lt;1</formula>
    </cfRule>
  </conditionalFormatting>
  <conditionalFormatting sqref="T33:T37">
    <cfRule type="expression" dxfId="4414" priority="4364" stopIfTrue="1">
      <formula>$A33&lt;1</formula>
    </cfRule>
  </conditionalFormatting>
  <conditionalFormatting sqref="T27:T45">
    <cfRule type="expression" dxfId="4413" priority="4363" stopIfTrue="1">
      <formula>$A27&lt;1</formula>
    </cfRule>
  </conditionalFormatting>
  <conditionalFormatting sqref="T33:T37">
    <cfRule type="expression" dxfId="4412" priority="4362" stopIfTrue="1">
      <formula>$A33&lt;1</formula>
    </cfRule>
  </conditionalFormatting>
  <conditionalFormatting sqref="T27:T45">
    <cfRule type="expression" dxfId="4411" priority="4361" stopIfTrue="1">
      <formula>$A27&lt;1</formula>
    </cfRule>
  </conditionalFormatting>
  <conditionalFormatting sqref="T33:T37">
    <cfRule type="expression" dxfId="4410" priority="4360" stopIfTrue="1">
      <formula>$A33&lt;1</formula>
    </cfRule>
  </conditionalFormatting>
  <conditionalFormatting sqref="T27:T45">
    <cfRule type="expression" dxfId="4409" priority="4359" stopIfTrue="1">
      <formula>$A27&lt;1</formula>
    </cfRule>
  </conditionalFormatting>
  <conditionalFormatting sqref="T33:T37">
    <cfRule type="expression" dxfId="4408" priority="4358" stopIfTrue="1">
      <formula>$A33&lt;1</formula>
    </cfRule>
  </conditionalFormatting>
  <conditionalFormatting sqref="T27:T45">
    <cfRule type="expression" dxfId="4407" priority="4357" stopIfTrue="1">
      <formula>$A27&lt;1</formula>
    </cfRule>
  </conditionalFormatting>
  <conditionalFormatting sqref="T33:T37">
    <cfRule type="expression" dxfId="4406" priority="4356" stopIfTrue="1">
      <formula>$A33&lt;1</formula>
    </cfRule>
  </conditionalFormatting>
  <conditionalFormatting sqref="T27:T45">
    <cfRule type="expression" dxfId="4405" priority="4355" stopIfTrue="1">
      <formula>$A27&lt;1</formula>
    </cfRule>
  </conditionalFormatting>
  <conditionalFormatting sqref="T33:T37">
    <cfRule type="expression" dxfId="4404" priority="4354" stopIfTrue="1">
      <formula>$A33&lt;1</formula>
    </cfRule>
  </conditionalFormatting>
  <conditionalFormatting sqref="T27:T45">
    <cfRule type="expression" dxfId="4403" priority="4353" stopIfTrue="1">
      <formula>$A27&lt;1</formula>
    </cfRule>
  </conditionalFormatting>
  <conditionalFormatting sqref="T33:T37">
    <cfRule type="expression" dxfId="4402" priority="4352" stopIfTrue="1">
      <formula>$A33&lt;1</formula>
    </cfRule>
  </conditionalFormatting>
  <conditionalFormatting sqref="T27:T45">
    <cfRule type="expression" dxfId="4401" priority="4351" stopIfTrue="1">
      <formula>$A27&lt;1</formula>
    </cfRule>
  </conditionalFormatting>
  <conditionalFormatting sqref="T33:T37">
    <cfRule type="expression" dxfId="4400" priority="4350" stopIfTrue="1">
      <formula>$A33&lt;1</formula>
    </cfRule>
  </conditionalFormatting>
  <conditionalFormatting sqref="T27:T45">
    <cfRule type="expression" dxfId="4399" priority="4349" stopIfTrue="1">
      <formula>$A27&lt;1</formula>
    </cfRule>
  </conditionalFormatting>
  <conditionalFormatting sqref="T33:T37">
    <cfRule type="expression" dxfId="4398" priority="4348" stopIfTrue="1">
      <formula>$A33&lt;1</formula>
    </cfRule>
  </conditionalFormatting>
  <conditionalFormatting sqref="T27:T45">
    <cfRule type="expression" dxfId="4397" priority="4347" stopIfTrue="1">
      <formula>$A27&lt;1</formula>
    </cfRule>
  </conditionalFormatting>
  <conditionalFormatting sqref="T33:T37">
    <cfRule type="expression" dxfId="4396" priority="4346" stopIfTrue="1">
      <formula>$A33&lt;1</formula>
    </cfRule>
  </conditionalFormatting>
  <conditionalFormatting sqref="T27:T45">
    <cfRule type="expression" dxfId="4395" priority="4345" stopIfTrue="1">
      <formula>$A27&lt;1</formula>
    </cfRule>
  </conditionalFormatting>
  <conditionalFormatting sqref="T33:T37">
    <cfRule type="expression" dxfId="4394" priority="4344" stopIfTrue="1">
      <formula>$A33&lt;1</formula>
    </cfRule>
  </conditionalFormatting>
  <conditionalFormatting sqref="T27:T45">
    <cfRule type="expression" dxfId="4393" priority="4343" stopIfTrue="1">
      <formula>$A27&lt;1</formula>
    </cfRule>
  </conditionalFormatting>
  <conditionalFormatting sqref="T33:T37">
    <cfRule type="expression" dxfId="4392" priority="4342" stopIfTrue="1">
      <formula>$A33&lt;1</formula>
    </cfRule>
  </conditionalFormatting>
  <conditionalFormatting sqref="T27:T45">
    <cfRule type="expression" dxfId="4391" priority="4341" stopIfTrue="1">
      <formula>$A27&lt;1</formula>
    </cfRule>
  </conditionalFormatting>
  <conditionalFormatting sqref="T33:T37">
    <cfRule type="expression" dxfId="4390" priority="4340" stopIfTrue="1">
      <formula>$A33&lt;1</formula>
    </cfRule>
  </conditionalFormatting>
  <conditionalFormatting sqref="T27:T45">
    <cfRule type="expression" dxfId="4389" priority="4339" stopIfTrue="1">
      <formula>$A27&lt;1</formula>
    </cfRule>
  </conditionalFormatting>
  <conditionalFormatting sqref="T33:T37">
    <cfRule type="expression" dxfId="4388" priority="4338" stopIfTrue="1">
      <formula>$A33&lt;1</formula>
    </cfRule>
  </conditionalFormatting>
  <conditionalFormatting sqref="T27:T45">
    <cfRule type="expression" dxfId="4387" priority="4337" stopIfTrue="1">
      <formula>$A27&lt;1</formula>
    </cfRule>
  </conditionalFormatting>
  <conditionalFormatting sqref="T33:T37">
    <cfRule type="expression" dxfId="4386" priority="4336" stopIfTrue="1">
      <formula>$A33&lt;1</formula>
    </cfRule>
  </conditionalFormatting>
  <conditionalFormatting sqref="T27:T45">
    <cfRule type="expression" dxfId="4385" priority="4335" stopIfTrue="1">
      <formula>$A27&lt;1</formula>
    </cfRule>
  </conditionalFormatting>
  <conditionalFormatting sqref="T33:T37">
    <cfRule type="expression" dxfId="4384" priority="4334" stopIfTrue="1">
      <formula>$A33&lt;1</formula>
    </cfRule>
  </conditionalFormatting>
  <conditionalFormatting sqref="T27:T45">
    <cfRule type="expression" dxfId="4383" priority="4333" stopIfTrue="1">
      <formula>$A27&lt;1</formula>
    </cfRule>
  </conditionalFormatting>
  <conditionalFormatting sqref="T33:T37">
    <cfRule type="expression" dxfId="4382" priority="4332" stopIfTrue="1">
      <formula>$A33&lt;1</formula>
    </cfRule>
  </conditionalFormatting>
  <conditionalFormatting sqref="T27:T45">
    <cfRule type="expression" dxfId="4381" priority="4331" stopIfTrue="1">
      <formula>$A27&lt;1</formula>
    </cfRule>
  </conditionalFormatting>
  <conditionalFormatting sqref="T33:T37">
    <cfRule type="expression" dxfId="4380" priority="4330" stopIfTrue="1">
      <formula>$A33&lt;1</formula>
    </cfRule>
  </conditionalFormatting>
  <conditionalFormatting sqref="T27:T45">
    <cfRule type="expression" dxfId="4379" priority="4329" stopIfTrue="1">
      <formula>$A27&lt;1</formula>
    </cfRule>
  </conditionalFormatting>
  <conditionalFormatting sqref="T33:T37">
    <cfRule type="expression" dxfId="4378" priority="4328" stopIfTrue="1">
      <formula>$A33&lt;1</formula>
    </cfRule>
  </conditionalFormatting>
  <conditionalFormatting sqref="T27:T45">
    <cfRule type="expression" dxfId="4377" priority="4327" stopIfTrue="1">
      <formula>$A27&lt;1</formula>
    </cfRule>
  </conditionalFormatting>
  <conditionalFormatting sqref="T33:T37">
    <cfRule type="expression" dxfId="4376" priority="4326" stopIfTrue="1">
      <formula>$A33&lt;1</formula>
    </cfRule>
  </conditionalFormatting>
  <conditionalFormatting sqref="T27:T45">
    <cfRule type="expression" dxfId="4375" priority="4325" stopIfTrue="1">
      <formula>$A27&lt;1</formula>
    </cfRule>
  </conditionalFormatting>
  <conditionalFormatting sqref="T33:T37">
    <cfRule type="expression" dxfId="4374" priority="4324" stopIfTrue="1">
      <formula>$A33&lt;1</formula>
    </cfRule>
  </conditionalFormatting>
  <conditionalFormatting sqref="T27:T45">
    <cfRule type="expression" dxfId="4373" priority="4323" stopIfTrue="1">
      <formula>$A27&lt;1</formula>
    </cfRule>
  </conditionalFormatting>
  <conditionalFormatting sqref="T33:T37">
    <cfRule type="expression" dxfId="4372" priority="4322" stopIfTrue="1">
      <formula>$A33&lt;1</formula>
    </cfRule>
  </conditionalFormatting>
  <conditionalFormatting sqref="T27:T45">
    <cfRule type="expression" dxfId="4371" priority="4321" stopIfTrue="1">
      <formula>$A27&lt;1</formula>
    </cfRule>
  </conditionalFormatting>
  <conditionalFormatting sqref="T33:T37">
    <cfRule type="expression" dxfId="4370" priority="4320" stopIfTrue="1">
      <formula>$A33&lt;1</formula>
    </cfRule>
  </conditionalFormatting>
  <conditionalFormatting sqref="T27:T45">
    <cfRule type="expression" dxfId="4369" priority="4319" stopIfTrue="1">
      <formula>$A27&lt;1</formula>
    </cfRule>
  </conditionalFormatting>
  <conditionalFormatting sqref="T33:T37">
    <cfRule type="expression" dxfId="4368" priority="4318" stopIfTrue="1">
      <formula>$A33&lt;1</formula>
    </cfRule>
  </conditionalFormatting>
  <conditionalFormatting sqref="T27:T45">
    <cfRule type="expression" dxfId="4367" priority="4317" stopIfTrue="1">
      <formula>$A27&lt;1</formula>
    </cfRule>
  </conditionalFormatting>
  <conditionalFormatting sqref="T33:T37">
    <cfRule type="expression" dxfId="4366" priority="4316" stopIfTrue="1">
      <formula>$A33&lt;1</formula>
    </cfRule>
  </conditionalFormatting>
  <conditionalFormatting sqref="T27:T45">
    <cfRule type="expression" dxfId="4365" priority="4315" stopIfTrue="1">
      <formula>$A27&lt;1</formula>
    </cfRule>
  </conditionalFormatting>
  <conditionalFormatting sqref="T33:T37">
    <cfRule type="expression" dxfId="4364" priority="4314" stopIfTrue="1">
      <formula>$A33&lt;1</formula>
    </cfRule>
  </conditionalFormatting>
  <conditionalFormatting sqref="T27:T45">
    <cfRule type="expression" dxfId="4363" priority="4313" stopIfTrue="1">
      <formula>$A27&lt;1</formula>
    </cfRule>
  </conditionalFormatting>
  <conditionalFormatting sqref="T33:T37">
    <cfRule type="expression" dxfId="4362" priority="4312" stopIfTrue="1">
      <formula>$A33&lt;1</formula>
    </cfRule>
  </conditionalFormatting>
  <conditionalFormatting sqref="T27:T45">
    <cfRule type="expression" dxfId="4361" priority="4311" stopIfTrue="1">
      <formula>$A27&lt;1</formula>
    </cfRule>
  </conditionalFormatting>
  <conditionalFormatting sqref="T33:T37">
    <cfRule type="expression" dxfId="4360" priority="4310" stopIfTrue="1">
      <formula>$A33&lt;1</formula>
    </cfRule>
  </conditionalFormatting>
  <conditionalFormatting sqref="T27:T45">
    <cfRule type="expression" dxfId="4359" priority="4309" stopIfTrue="1">
      <formula>$A27&lt;1</formula>
    </cfRule>
  </conditionalFormatting>
  <conditionalFormatting sqref="T33:T37">
    <cfRule type="expression" dxfId="4358" priority="4308" stopIfTrue="1">
      <formula>$A33&lt;1</formula>
    </cfRule>
  </conditionalFormatting>
  <conditionalFormatting sqref="T27:T45">
    <cfRule type="expression" dxfId="4357" priority="4307" stopIfTrue="1">
      <formula>$A27&lt;1</formula>
    </cfRule>
  </conditionalFormatting>
  <conditionalFormatting sqref="T33:T37">
    <cfRule type="expression" dxfId="4356" priority="4306" stopIfTrue="1">
      <formula>$A33&lt;1</formula>
    </cfRule>
  </conditionalFormatting>
  <conditionalFormatting sqref="T27:T45">
    <cfRule type="expression" dxfId="4355" priority="4305" stopIfTrue="1">
      <formula>$A27&lt;1</formula>
    </cfRule>
  </conditionalFormatting>
  <conditionalFormatting sqref="T33:T37">
    <cfRule type="expression" dxfId="4354" priority="4304" stopIfTrue="1">
      <formula>$A33&lt;1</formula>
    </cfRule>
  </conditionalFormatting>
  <conditionalFormatting sqref="T27:T45">
    <cfRule type="expression" dxfId="4353" priority="4303" stopIfTrue="1">
      <formula>$A27&lt;1</formula>
    </cfRule>
  </conditionalFormatting>
  <conditionalFormatting sqref="T33:T37">
    <cfRule type="expression" dxfId="4352" priority="4302" stopIfTrue="1">
      <formula>$A33&lt;1</formula>
    </cfRule>
  </conditionalFormatting>
  <conditionalFormatting sqref="T27:T45">
    <cfRule type="expression" dxfId="4351" priority="4301" stopIfTrue="1">
      <formula>$A27&lt;1</formula>
    </cfRule>
  </conditionalFormatting>
  <conditionalFormatting sqref="T33:T37">
    <cfRule type="expression" dxfId="4350" priority="4300" stopIfTrue="1">
      <formula>$A33&lt;1</formula>
    </cfRule>
  </conditionalFormatting>
  <conditionalFormatting sqref="T27:T45">
    <cfRule type="expression" dxfId="4349" priority="4299" stopIfTrue="1">
      <formula>$A27&lt;1</formula>
    </cfRule>
  </conditionalFormatting>
  <conditionalFormatting sqref="T33:T37">
    <cfRule type="expression" dxfId="4348" priority="4298" stopIfTrue="1">
      <formula>$A33&lt;1</formula>
    </cfRule>
  </conditionalFormatting>
  <conditionalFormatting sqref="T27:T45">
    <cfRule type="expression" dxfId="4347" priority="4297" stopIfTrue="1">
      <formula>$A27&lt;1</formula>
    </cfRule>
  </conditionalFormatting>
  <conditionalFormatting sqref="T33:T37">
    <cfRule type="expression" dxfId="4346" priority="4296" stopIfTrue="1">
      <formula>$A33&lt;1</formula>
    </cfRule>
  </conditionalFormatting>
  <conditionalFormatting sqref="T27:T45">
    <cfRule type="expression" dxfId="4345" priority="4295" stopIfTrue="1">
      <formula>$A27&lt;1</formula>
    </cfRule>
  </conditionalFormatting>
  <conditionalFormatting sqref="T33:T37">
    <cfRule type="expression" dxfId="4344" priority="4294" stopIfTrue="1">
      <formula>$A33&lt;1</formula>
    </cfRule>
  </conditionalFormatting>
  <conditionalFormatting sqref="T27:T45">
    <cfRule type="expression" dxfId="4343" priority="4293" stopIfTrue="1">
      <formula>$A27&lt;1</formula>
    </cfRule>
  </conditionalFormatting>
  <conditionalFormatting sqref="T33:T37">
    <cfRule type="expression" dxfId="4342" priority="4292" stopIfTrue="1">
      <formula>$A33&lt;1</formula>
    </cfRule>
  </conditionalFormatting>
  <conditionalFormatting sqref="T27:T45">
    <cfRule type="expression" dxfId="4341" priority="4291" stopIfTrue="1">
      <formula>$A27&lt;1</formula>
    </cfRule>
  </conditionalFormatting>
  <conditionalFormatting sqref="T33:T37">
    <cfRule type="expression" dxfId="4340" priority="4290" stopIfTrue="1">
      <formula>$A33&lt;1</formula>
    </cfRule>
  </conditionalFormatting>
  <conditionalFormatting sqref="T27:T45">
    <cfRule type="expression" dxfId="4339" priority="4289" stopIfTrue="1">
      <formula>$A27&lt;1</formula>
    </cfRule>
  </conditionalFormatting>
  <conditionalFormatting sqref="T33:T37">
    <cfRule type="expression" dxfId="4338" priority="4288" stopIfTrue="1">
      <formula>$A33&lt;1</formula>
    </cfRule>
  </conditionalFormatting>
  <conditionalFormatting sqref="T27:T45">
    <cfRule type="expression" dxfId="4337" priority="4287" stopIfTrue="1">
      <formula>$A27&lt;1</formula>
    </cfRule>
  </conditionalFormatting>
  <conditionalFormatting sqref="T33:T37">
    <cfRule type="expression" dxfId="4336" priority="4286" stopIfTrue="1">
      <formula>$A33&lt;1</formula>
    </cfRule>
  </conditionalFormatting>
  <conditionalFormatting sqref="T27:T45">
    <cfRule type="expression" dxfId="4335" priority="4285" stopIfTrue="1">
      <formula>$A27&lt;1</formula>
    </cfRule>
  </conditionalFormatting>
  <conditionalFormatting sqref="T33:T37">
    <cfRule type="expression" dxfId="4334" priority="4284" stopIfTrue="1">
      <formula>$A33&lt;1</formula>
    </cfRule>
  </conditionalFormatting>
  <conditionalFormatting sqref="T27:T45">
    <cfRule type="expression" dxfId="4333" priority="4283" stopIfTrue="1">
      <formula>$A27&lt;1</formula>
    </cfRule>
  </conditionalFormatting>
  <conditionalFormatting sqref="T33:T37">
    <cfRule type="expression" dxfId="4332" priority="4282" stopIfTrue="1">
      <formula>$A33&lt;1</formula>
    </cfRule>
  </conditionalFormatting>
  <conditionalFormatting sqref="T27:T45">
    <cfRule type="expression" dxfId="4331" priority="4281" stopIfTrue="1">
      <formula>$A27&lt;1</formula>
    </cfRule>
  </conditionalFormatting>
  <conditionalFormatting sqref="T33:T37">
    <cfRule type="expression" dxfId="4330" priority="4280" stopIfTrue="1">
      <formula>$A33&lt;1</formula>
    </cfRule>
  </conditionalFormatting>
  <conditionalFormatting sqref="T27:T45">
    <cfRule type="expression" dxfId="4329" priority="4279" stopIfTrue="1">
      <formula>$A27&lt;1</formula>
    </cfRule>
  </conditionalFormatting>
  <conditionalFormatting sqref="T33:T37">
    <cfRule type="expression" dxfId="4328" priority="4278" stopIfTrue="1">
      <formula>$A33&lt;1</formula>
    </cfRule>
  </conditionalFormatting>
  <conditionalFormatting sqref="T27:T45">
    <cfRule type="expression" dxfId="4327" priority="4277" stopIfTrue="1">
      <formula>$A27&lt;1</formula>
    </cfRule>
  </conditionalFormatting>
  <conditionalFormatting sqref="T33:T37">
    <cfRule type="expression" dxfId="4326" priority="4276" stopIfTrue="1">
      <formula>$A33&lt;1</formula>
    </cfRule>
  </conditionalFormatting>
  <conditionalFormatting sqref="T27:T45">
    <cfRule type="expression" dxfId="4325" priority="4275" stopIfTrue="1">
      <formula>$A27&lt;1</formula>
    </cfRule>
  </conditionalFormatting>
  <conditionalFormatting sqref="T33:T37">
    <cfRule type="expression" dxfId="4324" priority="4274" stopIfTrue="1">
      <formula>$A33&lt;1</formula>
    </cfRule>
  </conditionalFormatting>
  <conditionalFormatting sqref="T27:T45">
    <cfRule type="expression" dxfId="4323" priority="4273" stopIfTrue="1">
      <formula>$A27&lt;1</formula>
    </cfRule>
  </conditionalFormatting>
  <conditionalFormatting sqref="T33:T37">
    <cfRule type="expression" dxfId="4322" priority="4272" stopIfTrue="1">
      <formula>$A33&lt;1</formula>
    </cfRule>
  </conditionalFormatting>
  <conditionalFormatting sqref="T27:T45">
    <cfRule type="expression" dxfId="4321" priority="4271" stopIfTrue="1">
      <formula>$A27&lt;1</formula>
    </cfRule>
  </conditionalFormatting>
  <conditionalFormatting sqref="T33:T37">
    <cfRule type="expression" dxfId="4320" priority="4270" stopIfTrue="1">
      <formula>$A33&lt;1</formula>
    </cfRule>
  </conditionalFormatting>
  <conditionalFormatting sqref="T27:T45">
    <cfRule type="expression" dxfId="4319" priority="4269" stopIfTrue="1">
      <formula>$A27&lt;1</formula>
    </cfRule>
  </conditionalFormatting>
  <conditionalFormatting sqref="T33:T37">
    <cfRule type="expression" dxfId="4318" priority="4268" stopIfTrue="1">
      <formula>$A33&lt;1</formula>
    </cfRule>
  </conditionalFormatting>
  <conditionalFormatting sqref="T27:T45">
    <cfRule type="expression" dxfId="4317" priority="4267" stopIfTrue="1">
      <formula>$A27&lt;1</formula>
    </cfRule>
  </conditionalFormatting>
  <conditionalFormatting sqref="T33:T37">
    <cfRule type="expression" dxfId="4316" priority="4266" stopIfTrue="1">
      <formula>$A33&lt;1</formula>
    </cfRule>
  </conditionalFormatting>
  <conditionalFormatting sqref="T27:T45">
    <cfRule type="expression" dxfId="4315" priority="4265" stopIfTrue="1">
      <formula>$A27&lt;1</formula>
    </cfRule>
  </conditionalFormatting>
  <conditionalFormatting sqref="T33:T37">
    <cfRule type="expression" dxfId="4314" priority="4264" stopIfTrue="1">
      <formula>$A33&lt;1</formula>
    </cfRule>
  </conditionalFormatting>
  <conditionalFormatting sqref="T27:T45">
    <cfRule type="expression" dxfId="4313" priority="4263" stopIfTrue="1">
      <formula>$A27&lt;1</formula>
    </cfRule>
  </conditionalFormatting>
  <conditionalFormatting sqref="T33:T37">
    <cfRule type="expression" dxfId="4312" priority="4262" stopIfTrue="1">
      <formula>$A33&lt;1</formula>
    </cfRule>
  </conditionalFormatting>
  <conditionalFormatting sqref="T27:T45">
    <cfRule type="expression" dxfId="4311" priority="4261" stopIfTrue="1">
      <formula>$A27&lt;1</formula>
    </cfRule>
  </conditionalFormatting>
  <conditionalFormatting sqref="T33:T37">
    <cfRule type="expression" dxfId="4310" priority="4260" stopIfTrue="1">
      <formula>$A33&lt;1</formula>
    </cfRule>
  </conditionalFormatting>
  <conditionalFormatting sqref="T27:T45">
    <cfRule type="expression" dxfId="4309" priority="4259" stopIfTrue="1">
      <formula>$A27&lt;1</formula>
    </cfRule>
  </conditionalFormatting>
  <conditionalFormatting sqref="T33:T37">
    <cfRule type="expression" dxfId="4308" priority="4258" stopIfTrue="1">
      <formula>$A33&lt;1</formula>
    </cfRule>
  </conditionalFormatting>
  <conditionalFormatting sqref="T27:T45">
    <cfRule type="expression" dxfId="4307" priority="4257" stopIfTrue="1">
      <formula>$A27&lt;1</formula>
    </cfRule>
  </conditionalFormatting>
  <conditionalFormatting sqref="T33:T37">
    <cfRule type="expression" dxfId="4306" priority="4256" stopIfTrue="1">
      <formula>$A33&lt;1</formula>
    </cfRule>
  </conditionalFormatting>
  <conditionalFormatting sqref="T27:T45">
    <cfRule type="expression" dxfId="4305" priority="4255" stopIfTrue="1">
      <formula>$A27&lt;1</formula>
    </cfRule>
  </conditionalFormatting>
  <conditionalFormatting sqref="T33:T37">
    <cfRule type="expression" dxfId="4304" priority="4254" stopIfTrue="1">
      <formula>$A33&lt;1</formula>
    </cfRule>
  </conditionalFormatting>
  <conditionalFormatting sqref="T27:T45">
    <cfRule type="expression" dxfId="4303" priority="4253" stopIfTrue="1">
      <formula>$A27&lt;1</formula>
    </cfRule>
  </conditionalFormatting>
  <conditionalFormatting sqref="T33:T37">
    <cfRule type="expression" dxfId="4302" priority="4252" stopIfTrue="1">
      <formula>$A33&lt;1</formula>
    </cfRule>
  </conditionalFormatting>
  <conditionalFormatting sqref="T27:T45">
    <cfRule type="expression" dxfId="4301" priority="4251" stopIfTrue="1">
      <formula>$A27&lt;1</formula>
    </cfRule>
  </conditionalFormatting>
  <conditionalFormatting sqref="T33:T37">
    <cfRule type="expression" dxfId="4300" priority="4250" stopIfTrue="1">
      <formula>$A33&lt;1</formula>
    </cfRule>
  </conditionalFormatting>
  <conditionalFormatting sqref="T27:T45">
    <cfRule type="expression" dxfId="4299" priority="4249" stopIfTrue="1">
      <formula>$A27&lt;1</formula>
    </cfRule>
  </conditionalFormatting>
  <conditionalFormatting sqref="T33:T37">
    <cfRule type="expression" dxfId="4298" priority="4248" stopIfTrue="1">
      <formula>$A33&lt;1</formula>
    </cfRule>
  </conditionalFormatting>
  <conditionalFormatting sqref="T27:T45">
    <cfRule type="expression" dxfId="4297" priority="4247" stopIfTrue="1">
      <formula>$A27&lt;1</formula>
    </cfRule>
  </conditionalFormatting>
  <conditionalFormatting sqref="T33:T37">
    <cfRule type="expression" dxfId="4296" priority="4246" stopIfTrue="1">
      <formula>$A33&lt;1</formula>
    </cfRule>
  </conditionalFormatting>
  <conditionalFormatting sqref="T27:T45">
    <cfRule type="expression" dxfId="4295" priority="4245" stopIfTrue="1">
      <formula>$A27&lt;1</formula>
    </cfRule>
  </conditionalFormatting>
  <conditionalFormatting sqref="T33:T37">
    <cfRule type="expression" dxfId="4294" priority="4244" stopIfTrue="1">
      <formula>$A33&lt;1</formula>
    </cfRule>
  </conditionalFormatting>
  <conditionalFormatting sqref="T27:T45">
    <cfRule type="expression" dxfId="4293" priority="4243" stopIfTrue="1">
      <formula>$A27&lt;1</formula>
    </cfRule>
  </conditionalFormatting>
  <conditionalFormatting sqref="T33:T37">
    <cfRule type="expression" dxfId="4292" priority="4242" stopIfTrue="1">
      <formula>$A33&lt;1</formula>
    </cfRule>
  </conditionalFormatting>
  <conditionalFormatting sqref="T27:T45">
    <cfRule type="expression" dxfId="4291" priority="4241" stopIfTrue="1">
      <formula>$A27&lt;1</formula>
    </cfRule>
  </conditionalFormatting>
  <conditionalFormatting sqref="T33:T37">
    <cfRule type="expression" dxfId="4290" priority="4240" stopIfTrue="1">
      <formula>$A33&lt;1</formula>
    </cfRule>
  </conditionalFormatting>
  <conditionalFormatting sqref="T27:T45">
    <cfRule type="expression" dxfId="4289" priority="4239" stopIfTrue="1">
      <formula>$A27&lt;1</formula>
    </cfRule>
  </conditionalFormatting>
  <conditionalFormatting sqref="T33:T37">
    <cfRule type="expression" dxfId="4288" priority="4238" stopIfTrue="1">
      <formula>$A33&lt;1</formula>
    </cfRule>
  </conditionalFormatting>
  <conditionalFormatting sqref="T27:T45">
    <cfRule type="expression" dxfId="4287" priority="4237" stopIfTrue="1">
      <formula>$A27&lt;1</formula>
    </cfRule>
  </conditionalFormatting>
  <conditionalFormatting sqref="T33:T37">
    <cfRule type="expression" dxfId="4286" priority="4236" stopIfTrue="1">
      <formula>$A33&lt;1</formula>
    </cfRule>
  </conditionalFormatting>
  <conditionalFormatting sqref="T27:T45">
    <cfRule type="expression" dxfId="4285" priority="4235" stopIfTrue="1">
      <formula>$A27&lt;1</formula>
    </cfRule>
  </conditionalFormatting>
  <conditionalFormatting sqref="T33:T37">
    <cfRule type="expression" dxfId="4284" priority="4234" stopIfTrue="1">
      <formula>$A33&lt;1</formula>
    </cfRule>
  </conditionalFormatting>
  <conditionalFormatting sqref="T27:T45">
    <cfRule type="expression" dxfId="4283" priority="4233" stopIfTrue="1">
      <formula>$A27&lt;1</formula>
    </cfRule>
  </conditionalFormatting>
  <conditionalFormatting sqref="T33:T37">
    <cfRule type="expression" dxfId="4282" priority="4232" stopIfTrue="1">
      <formula>$A33&lt;1</formula>
    </cfRule>
  </conditionalFormatting>
  <conditionalFormatting sqref="T27:T45">
    <cfRule type="expression" dxfId="4281" priority="4231" stopIfTrue="1">
      <formula>$A27&lt;1</formula>
    </cfRule>
  </conditionalFormatting>
  <conditionalFormatting sqref="T33:T37">
    <cfRule type="expression" dxfId="4280" priority="4230" stopIfTrue="1">
      <formula>$A33&lt;1</formula>
    </cfRule>
  </conditionalFormatting>
  <conditionalFormatting sqref="T27:T45">
    <cfRule type="expression" dxfId="4279" priority="4229" stopIfTrue="1">
      <formula>$A27&lt;1</formula>
    </cfRule>
  </conditionalFormatting>
  <conditionalFormatting sqref="T33:T37">
    <cfRule type="expression" dxfId="4278" priority="4228" stopIfTrue="1">
      <formula>$A33&lt;1</formula>
    </cfRule>
  </conditionalFormatting>
  <conditionalFormatting sqref="T27:T45">
    <cfRule type="expression" dxfId="4277" priority="4227" stopIfTrue="1">
      <formula>$A27&lt;1</formula>
    </cfRule>
  </conditionalFormatting>
  <conditionalFormatting sqref="T33:T37">
    <cfRule type="expression" dxfId="4276" priority="4226" stopIfTrue="1">
      <formula>$A33&lt;1</formula>
    </cfRule>
  </conditionalFormatting>
  <conditionalFormatting sqref="T27:T45">
    <cfRule type="expression" dxfId="4275" priority="4225" stopIfTrue="1">
      <formula>$A27&lt;1</formula>
    </cfRule>
  </conditionalFormatting>
  <conditionalFormatting sqref="T33:T37">
    <cfRule type="expression" dxfId="4274" priority="4224" stopIfTrue="1">
      <formula>$A33&lt;1</formula>
    </cfRule>
  </conditionalFormatting>
  <conditionalFormatting sqref="T27:T45">
    <cfRule type="expression" dxfId="4273" priority="4223" stopIfTrue="1">
      <formula>$A27&lt;1</formula>
    </cfRule>
  </conditionalFormatting>
  <conditionalFormatting sqref="T33:T37">
    <cfRule type="expression" dxfId="4272" priority="4222" stopIfTrue="1">
      <formula>$A33&lt;1</formula>
    </cfRule>
  </conditionalFormatting>
  <conditionalFormatting sqref="T27:T45">
    <cfRule type="expression" dxfId="4271" priority="4221" stopIfTrue="1">
      <formula>$A27&lt;1</formula>
    </cfRule>
  </conditionalFormatting>
  <conditionalFormatting sqref="T33:T37">
    <cfRule type="expression" dxfId="4270" priority="4220" stopIfTrue="1">
      <formula>$A33&lt;1</formula>
    </cfRule>
  </conditionalFormatting>
  <conditionalFormatting sqref="T27:T45">
    <cfRule type="expression" dxfId="4269" priority="4219" stopIfTrue="1">
      <formula>$A27&lt;1</formula>
    </cfRule>
  </conditionalFormatting>
  <conditionalFormatting sqref="T33:T37">
    <cfRule type="expression" dxfId="4268" priority="4218" stopIfTrue="1">
      <formula>$A33&lt;1</formula>
    </cfRule>
  </conditionalFormatting>
  <conditionalFormatting sqref="T27:T45">
    <cfRule type="expression" dxfId="4267" priority="4217" stopIfTrue="1">
      <formula>$A27&lt;1</formula>
    </cfRule>
  </conditionalFormatting>
  <conditionalFormatting sqref="T33:T37">
    <cfRule type="expression" dxfId="4266" priority="4216" stopIfTrue="1">
      <formula>$A33&lt;1</formula>
    </cfRule>
  </conditionalFormatting>
  <conditionalFormatting sqref="T27:T45">
    <cfRule type="expression" dxfId="4265" priority="4215" stopIfTrue="1">
      <formula>$A27&lt;1</formula>
    </cfRule>
  </conditionalFormatting>
  <conditionalFormatting sqref="T33:T37">
    <cfRule type="expression" dxfId="4264" priority="4214" stopIfTrue="1">
      <formula>$A33&lt;1</formula>
    </cfRule>
  </conditionalFormatting>
  <conditionalFormatting sqref="T27:T45">
    <cfRule type="expression" dxfId="4263" priority="4213" stopIfTrue="1">
      <formula>$A27&lt;1</formula>
    </cfRule>
  </conditionalFormatting>
  <conditionalFormatting sqref="T33:T37">
    <cfRule type="expression" dxfId="4262" priority="4212" stopIfTrue="1">
      <formula>$A33&lt;1</formula>
    </cfRule>
  </conditionalFormatting>
  <conditionalFormatting sqref="T27:T45">
    <cfRule type="expression" dxfId="4261" priority="4211" stopIfTrue="1">
      <formula>$A27&lt;1</formula>
    </cfRule>
  </conditionalFormatting>
  <conditionalFormatting sqref="T33:T37">
    <cfRule type="expression" dxfId="4260" priority="4210" stopIfTrue="1">
      <formula>$A33&lt;1</formula>
    </cfRule>
  </conditionalFormatting>
  <conditionalFormatting sqref="T27:T45">
    <cfRule type="expression" dxfId="4259" priority="4209" stopIfTrue="1">
      <formula>$A27&lt;1</formula>
    </cfRule>
  </conditionalFormatting>
  <conditionalFormatting sqref="T33:T37">
    <cfRule type="expression" dxfId="4258" priority="4208" stopIfTrue="1">
      <formula>$A33&lt;1</formula>
    </cfRule>
  </conditionalFormatting>
  <conditionalFormatting sqref="T27:T45">
    <cfRule type="expression" dxfId="4257" priority="4207" stopIfTrue="1">
      <formula>$A27&lt;1</formula>
    </cfRule>
  </conditionalFormatting>
  <conditionalFormatting sqref="T33:T37">
    <cfRule type="expression" dxfId="4256" priority="4206" stopIfTrue="1">
      <formula>$A33&lt;1</formula>
    </cfRule>
  </conditionalFormatting>
  <conditionalFormatting sqref="T27:T45">
    <cfRule type="expression" dxfId="4255" priority="4205" stopIfTrue="1">
      <formula>$A27&lt;1</formula>
    </cfRule>
  </conditionalFormatting>
  <conditionalFormatting sqref="T33:T37">
    <cfRule type="expression" dxfId="4254" priority="4204" stopIfTrue="1">
      <formula>$A33&lt;1</formula>
    </cfRule>
  </conditionalFormatting>
  <conditionalFormatting sqref="T27:T45">
    <cfRule type="expression" dxfId="4253" priority="4203" stopIfTrue="1">
      <formula>$A27&lt;1</formula>
    </cfRule>
  </conditionalFormatting>
  <conditionalFormatting sqref="T33:T37">
    <cfRule type="expression" dxfId="4252" priority="4202" stopIfTrue="1">
      <formula>$A33&lt;1</formula>
    </cfRule>
  </conditionalFormatting>
  <conditionalFormatting sqref="T27:T45">
    <cfRule type="expression" dxfId="4251" priority="4201" stopIfTrue="1">
      <formula>$A27&lt;1</formula>
    </cfRule>
  </conditionalFormatting>
  <conditionalFormatting sqref="T33:T37">
    <cfRule type="expression" dxfId="4250" priority="4200" stopIfTrue="1">
      <formula>$A33&lt;1</formula>
    </cfRule>
  </conditionalFormatting>
  <conditionalFormatting sqref="T27:T45">
    <cfRule type="expression" dxfId="4249" priority="4199" stopIfTrue="1">
      <formula>$A27&lt;1</formula>
    </cfRule>
  </conditionalFormatting>
  <conditionalFormatting sqref="T33:T37">
    <cfRule type="expression" dxfId="4248" priority="4198" stopIfTrue="1">
      <formula>$A33&lt;1</formula>
    </cfRule>
  </conditionalFormatting>
  <conditionalFormatting sqref="T27:T45">
    <cfRule type="expression" dxfId="4247" priority="4197" stopIfTrue="1">
      <formula>$A27&lt;1</formula>
    </cfRule>
  </conditionalFormatting>
  <conditionalFormatting sqref="T33:T37">
    <cfRule type="expression" dxfId="4246" priority="4196" stopIfTrue="1">
      <formula>$A33&lt;1</formula>
    </cfRule>
  </conditionalFormatting>
  <conditionalFormatting sqref="T27:T45">
    <cfRule type="expression" dxfId="4245" priority="4195" stopIfTrue="1">
      <formula>$A27&lt;1</formula>
    </cfRule>
  </conditionalFormatting>
  <conditionalFormatting sqref="T33:T37">
    <cfRule type="expression" dxfId="4244" priority="4194" stopIfTrue="1">
      <formula>$A33&lt;1</formula>
    </cfRule>
  </conditionalFormatting>
  <conditionalFormatting sqref="T27:T45">
    <cfRule type="expression" dxfId="4243" priority="4193" stopIfTrue="1">
      <formula>$A27&lt;1</formula>
    </cfRule>
  </conditionalFormatting>
  <conditionalFormatting sqref="T33:T37">
    <cfRule type="expression" dxfId="4242" priority="4192" stopIfTrue="1">
      <formula>$A33&lt;1</formula>
    </cfRule>
  </conditionalFormatting>
  <conditionalFormatting sqref="T27:T45">
    <cfRule type="expression" dxfId="4241" priority="4191" stopIfTrue="1">
      <formula>$A27&lt;1</formula>
    </cfRule>
  </conditionalFormatting>
  <conditionalFormatting sqref="T33:T37">
    <cfRule type="expression" dxfId="4240" priority="4190" stopIfTrue="1">
      <formula>$A33&lt;1</formula>
    </cfRule>
  </conditionalFormatting>
  <conditionalFormatting sqref="T27:T45">
    <cfRule type="expression" dxfId="4239" priority="4189" stopIfTrue="1">
      <formula>$A27&lt;1</formula>
    </cfRule>
  </conditionalFormatting>
  <conditionalFormatting sqref="T33:T37">
    <cfRule type="expression" dxfId="4238" priority="4188" stopIfTrue="1">
      <formula>$A33&lt;1</formula>
    </cfRule>
  </conditionalFormatting>
  <conditionalFormatting sqref="T27:T45">
    <cfRule type="expression" dxfId="4237" priority="4187" stopIfTrue="1">
      <formula>$A27&lt;1</formula>
    </cfRule>
  </conditionalFormatting>
  <conditionalFormatting sqref="T33:T37">
    <cfRule type="expression" dxfId="4236" priority="4186" stopIfTrue="1">
      <formula>$A33&lt;1</formula>
    </cfRule>
  </conditionalFormatting>
  <conditionalFormatting sqref="T27:T45">
    <cfRule type="expression" dxfId="4235" priority="4185" stopIfTrue="1">
      <formula>$A27&lt;1</formula>
    </cfRule>
  </conditionalFormatting>
  <conditionalFormatting sqref="T33:T37">
    <cfRule type="expression" dxfId="4234" priority="4184" stopIfTrue="1">
      <formula>$A33&lt;1</formula>
    </cfRule>
  </conditionalFormatting>
  <conditionalFormatting sqref="T27:T45">
    <cfRule type="expression" dxfId="4233" priority="4183" stopIfTrue="1">
      <formula>$A27&lt;1</formula>
    </cfRule>
  </conditionalFormatting>
  <conditionalFormatting sqref="T33:T37">
    <cfRule type="expression" dxfId="4232" priority="4182" stopIfTrue="1">
      <formula>$A33&lt;1</formula>
    </cfRule>
  </conditionalFormatting>
  <conditionalFormatting sqref="T27:T45">
    <cfRule type="expression" dxfId="4231" priority="4181" stopIfTrue="1">
      <formula>$A27&lt;1</formula>
    </cfRule>
  </conditionalFormatting>
  <conditionalFormatting sqref="T33:T37">
    <cfRule type="expression" dxfId="4230" priority="4180" stopIfTrue="1">
      <formula>$A33&lt;1</formula>
    </cfRule>
  </conditionalFormatting>
  <conditionalFormatting sqref="T27:T45">
    <cfRule type="expression" dxfId="4229" priority="4179" stopIfTrue="1">
      <formula>$A27&lt;1</formula>
    </cfRule>
  </conditionalFormatting>
  <conditionalFormatting sqref="T33:T37">
    <cfRule type="expression" dxfId="4228" priority="4178" stopIfTrue="1">
      <formula>$A33&lt;1</formula>
    </cfRule>
  </conditionalFormatting>
  <conditionalFormatting sqref="T27:T45">
    <cfRule type="expression" dxfId="4227" priority="4177" stopIfTrue="1">
      <formula>$A27&lt;1</formula>
    </cfRule>
  </conditionalFormatting>
  <conditionalFormatting sqref="T33:T37">
    <cfRule type="expression" dxfId="4226" priority="4176" stopIfTrue="1">
      <formula>$A33&lt;1</formula>
    </cfRule>
  </conditionalFormatting>
  <conditionalFormatting sqref="T27:T45">
    <cfRule type="expression" dxfId="4225" priority="4175" stopIfTrue="1">
      <formula>$A27&lt;1</formula>
    </cfRule>
  </conditionalFormatting>
  <conditionalFormatting sqref="T33:T37">
    <cfRule type="expression" dxfId="4224" priority="4174" stopIfTrue="1">
      <formula>$A33&lt;1</formula>
    </cfRule>
  </conditionalFormatting>
  <conditionalFormatting sqref="T27:T45">
    <cfRule type="expression" dxfId="4223" priority="4173" stopIfTrue="1">
      <formula>$A27&lt;1</formula>
    </cfRule>
  </conditionalFormatting>
  <conditionalFormatting sqref="T33:T37">
    <cfRule type="expression" dxfId="4222" priority="4172" stopIfTrue="1">
      <formula>$A33&lt;1</formula>
    </cfRule>
  </conditionalFormatting>
  <conditionalFormatting sqref="T27:T45">
    <cfRule type="expression" dxfId="4221" priority="4171" stopIfTrue="1">
      <formula>$A27&lt;1</formula>
    </cfRule>
  </conditionalFormatting>
  <conditionalFormatting sqref="T33:T37">
    <cfRule type="expression" dxfId="4220" priority="4170" stopIfTrue="1">
      <formula>$A33&lt;1</formula>
    </cfRule>
  </conditionalFormatting>
  <conditionalFormatting sqref="T27:T45">
    <cfRule type="expression" dxfId="4219" priority="4169" stopIfTrue="1">
      <formula>$A27&lt;1</formula>
    </cfRule>
  </conditionalFormatting>
  <conditionalFormatting sqref="T33:T37">
    <cfRule type="expression" dxfId="4218" priority="4168" stopIfTrue="1">
      <formula>$A33&lt;1</formula>
    </cfRule>
  </conditionalFormatting>
  <conditionalFormatting sqref="T27:T45">
    <cfRule type="expression" dxfId="4217" priority="4167" stopIfTrue="1">
      <formula>$A27&lt;1</formula>
    </cfRule>
  </conditionalFormatting>
  <conditionalFormatting sqref="T33:T37">
    <cfRule type="expression" dxfId="4216" priority="4166" stopIfTrue="1">
      <formula>$A33&lt;1</formula>
    </cfRule>
  </conditionalFormatting>
  <conditionalFormatting sqref="T27:T45">
    <cfRule type="expression" dxfId="4215" priority="4165" stopIfTrue="1">
      <formula>$A27&lt;1</formula>
    </cfRule>
  </conditionalFormatting>
  <conditionalFormatting sqref="T33:T37">
    <cfRule type="expression" dxfId="4214" priority="4164" stopIfTrue="1">
      <formula>$A33&lt;1</formula>
    </cfRule>
  </conditionalFormatting>
  <conditionalFormatting sqref="T27:T45">
    <cfRule type="expression" dxfId="4213" priority="4163" stopIfTrue="1">
      <formula>$A27&lt;1</formula>
    </cfRule>
  </conditionalFormatting>
  <conditionalFormatting sqref="T33:T37">
    <cfRule type="expression" dxfId="4212" priority="4162" stopIfTrue="1">
      <formula>$A33&lt;1</formula>
    </cfRule>
  </conditionalFormatting>
  <conditionalFormatting sqref="T27:T45">
    <cfRule type="expression" dxfId="4211" priority="4161" stopIfTrue="1">
      <formula>$A27&lt;1</formula>
    </cfRule>
  </conditionalFormatting>
  <conditionalFormatting sqref="T33:T37">
    <cfRule type="expression" dxfId="4210" priority="4160" stopIfTrue="1">
      <formula>$A33&lt;1</formula>
    </cfRule>
  </conditionalFormatting>
  <conditionalFormatting sqref="T27:T45">
    <cfRule type="expression" dxfId="4209" priority="4159" stopIfTrue="1">
      <formula>$A27&lt;1</formula>
    </cfRule>
  </conditionalFormatting>
  <conditionalFormatting sqref="T33:T37">
    <cfRule type="expression" dxfId="4208" priority="4158" stopIfTrue="1">
      <formula>$A33&lt;1</formula>
    </cfRule>
  </conditionalFormatting>
  <conditionalFormatting sqref="T27:T45">
    <cfRule type="expression" dxfId="4207" priority="4157" stopIfTrue="1">
      <formula>$A27&lt;1</formula>
    </cfRule>
  </conditionalFormatting>
  <conditionalFormatting sqref="T33:T37">
    <cfRule type="expression" dxfId="4206" priority="4156" stopIfTrue="1">
      <formula>$A33&lt;1</formula>
    </cfRule>
  </conditionalFormatting>
  <conditionalFormatting sqref="T27:T45">
    <cfRule type="expression" dxfId="4205" priority="4155" stopIfTrue="1">
      <formula>$A27&lt;1</formula>
    </cfRule>
  </conditionalFormatting>
  <conditionalFormatting sqref="T33:T37">
    <cfRule type="expression" dxfId="4204" priority="4154" stopIfTrue="1">
      <formula>$A33&lt;1</formula>
    </cfRule>
  </conditionalFormatting>
  <conditionalFormatting sqref="T27:T45">
    <cfRule type="expression" dxfId="4203" priority="4153" stopIfTrue="1">
      <formula>$A27&lt;1</formula>
    </cfRule>
  </conditionalFormatting>
  <conditionalFormatting sqref="T33:T37">
    <cfRule type="expression" dxfId="4202" priority="4152" stopIfTrue="1">
      <formula>$A33&lt;1</formula>
    </cfRule>
  </conditionalFormatting>
  <conditionalFormatting sqref="T27:T45">
    <cfRule type="expression" dxfId="4201" priority="4151" stopIfTrue="1">
      <formula>$A27&lt;1</formula>
    </cfRule>
  </conditionalFormatting>
  <conditionalFormatting sqref="T33:T37">
    <cfRule type="expression" dxfId="4200" priority="4150" stopIfTrue="1">
      <formula>$A33&lt;1</formula>
    </cfRule>
  </conditionalFormatting>
  <conditionalFormatting sqref="T27:T45">
    <cfRule type="expression" dxfId="4199" priority="4149" stopIfTrue="1">
      <formula>$A27&lt;1</formula>
    </cfRule>
  </conditionalFormatting>
  <conditionalFormatting sqref="T33:T37">
    <cfRule type="expression" dxfId="4198" priority="4148" stopIfTrue="1">
      <formula>$A33&lt;1</formula>
    </cfRule>
  </conditionalFormatting>
  <conditionalFormatting sqref="T27:T45">
    <cfRule type="expression" dxfId="4197" priority="4147" stopIfTrue="1">
      <formula>$A27&lt;1</formula>
    </cfRule>
  </conditionalFormatting>
  <conditionalFormatting sqref="T33:T37">
    <cfRule type="expression" dxfId="4196" priority="4146" stopIfTrue="1">
      <formula>$A33&lt;1</formula>
    </cfRule>
  </conditionalFormatting>
  <conditionalFormatting sqref="T27:T45">
    <cfRule type="expression" dxfId="4195" priority="4145" stopIfTrue="1">
      <formula>$A27&lt;1</formula>
    </cfRule>
  </conditionalFormatting>
  <conditionalFormatting sqref="T33:T37">
    <cfRule type="expression" dxfId="4194" priority="4144" stopIfTrue="1">
      <formula>$A33&lt;1</formula>
    </cfRule>
  </conditionalFormatting>
  <conditionalFormatting sqref="T27:T45">
    <cfRule type="expression" dxfId="4193" priority="4143" stopIfTrue="1">
      <formula>$A27&lt;1</formula>
    </cfRule>
  </conditionalFormatting>
  <conditionalFormatting sqref="T33:T37">
    <cfRule type="expression" dxfId="4192" priority="4142" stopIfTrue="1">
      <formula>$A33&lt;1</formula>
    </cfRule>
  </conditionalFormatting>
  <conditionalFormatting sqref="T27:T45">
    <cfRule type="expression" dxfId="4191" priority="4141" stopIfTrue="1">
      <formula>$A27&lt;1</formula>
    </cfRule>
  </conditionalFormatting>
  <conditionalFormatting sqref="T33:T37">
    <cfRule type="expression" dxfId="4190" priority="4140" stopIfTrue="1">
      <formula>$A33&lt;1</formula>
    </cfRule>
  </conditionalFormatting>
  <conditionalFormatting sqref="T27:T45">
    <cfRule type="expression" dxfId="4189" priority="4139" stopIfTrue="1">
      <formula>$A27&lt;1</formula>
    </cfRule>
  </conditionalFormatting>
  <conditionalFormatting sqref="T33:T37">
    <cfRule type="expression" dxfId="4188" priority="4138" stopIfTrue="1">
      <formula>$A33&lt;1</formula>
    </cfRule>
  </conditionalFormatting>
  <conditionalFormatting sqref="T27:T45">
    <cfRule type="expression" dxfId="4187" priority="4137" stopIfTrue="1">
      <formula>$A27&lt;1</formula>
    </cfRule>
  </conditionalFormatting>
  <conditionalFormatting sqref="T33:T37">
    <cfRule type="expression" dxfId="4186" priority="4136" stopIfTrue="1">
      <formula>$A33&lt;1</formula>
    </cfRule>
  </conditionalFormatting>
  <conditionalFormatting sqref="T27:T45">
    <cfRule type="expression" dxfId="4185" priority="4135" stopIfTrue="1">
      <formula>$A27&lt;1</formula>
    </cfRule>
  </conditionalFormatting>
  <conditionalFormatting sqref="T33:T37">
    <cfRule type="expression" dxfId="4184" priority="4134" stopIfTrue="1">
      <formula>$A33&lt;1</formula>
    </cfRule>
  </conditionalFormatting>
  <conditionalFormatting sqref="T27:T45">
    <cfRule type="expression" dxfId="4183" priority="4133" stopIfTrue="1">
      <formula>$A27&lt;1</formula>
    </cfRule>
  </conditionalFormatting>
  <conditionalFormatting sqref="T33:T37">
    <cfRule type="expression" dxfId="4182" priority="4132" stopIfTrue="1">
      <formula>$A33&lt;1</formula>
    </cfRule>
  </conditionalFormatting>
  <conditionalFormatting sqref="T27:T45">
    <cfRule type="expression" dxfId="4181" priority="4131" stopIfTrue="1">
      <formula>$A27&lt;1</formula>
    </cfRule>
  </conditionalFormatting>
  <conditionalFormatting sqref="T33:T37">
    <cfRule type="expression" dxfId="4180" priority="4130" stopIfTrue="1">
      <formula>$A33&lt;1</formula>
    </cfRule>
  </conditionalFormatting>
  <conditionalFormatting sqref="T27:T45">
    <cfRule type="expression" dxfId="4179" priority="4129" stopIfTrue="1">
      <formula>$A27&lt;1</formula>
    </cfRule>
  </conditionalFormatting>
  <conditionalFormatting sqref="T33:T37">
    <cfRule type="expression" dxfId="4178" priority="4128" stopIfTrue="1">
      <formula>$A33&lt;1</formula>
    </cfRule>
  </conditionalFormatting>
  <conditionalFormatting sqref="T27:T45">
    <cfRule type="expression" dxfId="4177" priority="4127" stopIfTrue="1">
      <formula>$A27&lt;1</formula>
    </cfRule>
  </conditionalFormatting>
  <conditionalFormatting sqref="T33:T37">
    <cfRule type="expression" dxfId="4176" priority="4126" stopIfTrue="1">
      <formula>$A33&lt;1</formula>
    </cfRule>
  </conditionalFormatting>
  <conditionalFormatting sqref="T27:T45">
    <cfRule type="expression" dxfId="4175" priority="4125" stopIfTrue="1">
      <formula>$A27&lt;1</formula>
    </cfRule>
  </conditionalFormatting>
  <conditionalFormatting sqref="T33:T37">
    <cfRule type="expression" dxfId="4174" priority="4124" stopIfTrue="1">
      <formula>$A33&lt;1</formula>
    </cfRule>
  </conditionalFormatting>
  <conditionalFormatting sqref="T27:T45">
    <cfRule type="expression" dxfId="4173" priority="4123" stopIfTrue="1">
      <formula>$A27&lt;1</formula>
    </cfRule>
  </conditionalFormatting>
  <conditionalFormatting sqref="T33:T37">
    <cfRule type="expression" dxfId="4172" priority="4122" stopIfTrue="1">
      <formula>$A33&lt;1</formula>
    </cfRule>
  </conditionalFormatting>
  <conditionalFormatting sqref="T27:T45">
    <cfRule type="expression" dxfId="4171" priority="4121" stopIfTrue="1">
      <formula>$A27&lt;1</formula>
    </cfRule>
  </conditionalFormatting>
  <conditionalFormatting sqref="T33:T37">
    <cfRule type="expression" dxfId="4170" priority="4120" stopIfTrue="1">
      <formula>$A33&lt;1</formula>
    </cfRule>
  </conditionalFormatting>
  <conditionalFormatting sqref="T27:T45">
    <cfRule type="expression" dxfId="4169" priority="4119" stopIfTrue="1">
      <formula>$A27&lt;1</formula>
    </cfRule>
  </conditionalFormatting>
  <conditionalFormatting sqref="T33:T37">
    <cfRule type="expression" dxfId="4168" priority="4118" stopIfTrue="1">
      <formula>$A33&lt;1</formula>
    </cfRule>
  </conditionalFormatting>
  <conditionalFormatting sqref="T27:T45">
    <cfRule type="expression" dxfId="4167" priority="4117" stopIfTrue="1">
      <formula>$A27&lt;1</formula>
    </cfRule>
  </conditionalFormatting>
  <conditionalFormatting sqref="T33:T37">
    <cfRule type="expression" dxfId="4166" priority="4116" stopIfTrue="1">
      <formula>$A33&lt;1</formula>
    </cfRule>
  </conditionalFormatting>
  <conditionalFormatting sqref="T27:T45">
    <cfRule type="expression" dxfId="4165" priority="4115" stopIfTrue="1">
      <formula>$A27&lt;1</formula>
    </cfRule>
  </conditionalFormatting>
  <conditionalFormatting sqref="T33:T37">
    <cfRule type="expression" dxfId="4164" priority="4114" stopIfTrue="1">
      <formula>$A33&lt;1</formula>
    </cfRule>
  </conditionalFormatting>
  <conditionalFormatting sqref="T27:T45">
    <cfRule type="expression" dxfId="4163" priority="4113" stopIfTrue="1">
      <formula>$A27&lt;1</formula>
    </cfRule>
  </conditionalFormatting>
  <conditionalFormatting sqref="T33:T37">
    <cfRule type="expression" dxfId="4162" priority="4112" stopIfTrue="1">
      <formula>$A33&lt;1</formula>
    </cfRule>
  </conditionalFormatting>
  <conditionalFormatting sqref="T27:T45">
    <cfRule type="expression" dxfId="4161" priority="4111" stopIfTrue="1">
      <formula>$A27&lt;1</formula>
    </cfRule>
  </conditionalFormatting>
  <conditionalFormatting sqref="T33:T37">
    <cfRule type="expression" dxfId="4160" priority="4110" stopIfTrue="1">
      <formula>$A33&lt;1</formula>
    </cfRule>
  </conditionalFormatting>
  <conditionalFormatting sqref="T27:T45">
    <cfRule type="expression" dxfId="4159" priority="4109" stopIfTrue="1">
      <formula>$A27&lt;1</formula>
    </cfRule>
  </conditionalFormatting>
  <conditionalFormatting sqref="T33:T37">
    <cfRule type="expression" dxfId="4158" priority="4108" stopIfTrue="1">
      <formula>$A33&lt;1</formula>
    </cfRule>
  </conditionalFormatting>
  <conditionalFormatting sqref="T27:T45">
    <cfRule type="expression" dxfId="4157" priority="4107" stopIfTrue="1">
      <formula>$A27&lt;1</formula>
    </cfRule>
  </conditionalFormatting>
  <conditionalFormatting sqref="T33:T37">
    <cfRule type="expression" dxfId="4156" priority="4106" stopIfTrue="1">
      <formula>$A33&lt;1</formula>
    </cfRule>
  </conditionalFormatting>
  <conditionalFormatting sqref="T27:T45">
    <cfRule type="expression" dxfId="4155" priority="4105" stopIfTrue="1">
      <formula>$A27&lt;1</formula>
    </cfRule>
  </conditionalFormatting>
  <conditionalFormatting sqref="T33:T37">
    <cfRule type="expression" dxfId="4154" priority="4104" stopIfTrue="1">
      <formula>$A33&lt;1</formula>
    </cfRule>
  </conditionalFormatting>
  <conditionalFormatting sqref="T27:T45">
    <cfRule type="expression" dxfId="4153" priority="4103" stopIfTrue="1">
      <formula>$A27&lt;1</formula>
    </cfRule>
  </conditionalFormatting>
  <conditionalFormatting sqref="T33:T37">
    <cfRule type="expression" dxfId="4152" priority="4102" stopIfTrue="1">
      <formula>$A33&lt;1</formula>
    </cfRule>
  </conditionalFormatting>
  <conditionalFormatting sqref="T27:T45">
    <cfRule type="expression" dxfId="4151" priority="4101" stopIfTrue="1">
      <formula>$A27&lt;1</formula>
    </cfRule>
  </conditionalFormatting>
  <conditionalFormatting sqref="T33:T37">
    <cfRule type="expression" dxfId="4150" priority="4100" stopIfTrue="1">
      <formula>$A33&lt;1</formula>
    </cfRule>
  </conditionalFormatting>
  <conditionalFormatting sqref="T27:T45">
    <cfRule type="expression" dxfId="4149" priority="4099" stopIfTrue="1">
      <formula>$A27&lt;1</formula>
    </cfRule>
  </conditionalFormatting>
  <conditionalFormatting sqref="T33:T37">
    <cfRule type="expression" dxfId="4148" priority="4098" stopIfTrue="1">
      <formula>$A33&lt;1</formula>
    </cfRule>
  </conditionalFormatting>
  <conditionalFormatting sqref="T27:T45">
    <cfRule type="expression" dxfId="4147" priority="4097" stopIfTrue="1">
      <formula>$A27&lt;1</formula>
    </cfRule>
  </conditionalFormatting>
  <conditionalFormatting sqref="T33:T37">
    <cfRule type="expression" dxfId="4146" priority="4096" stopIfTrue="1">
      <formula>$A33&lt;1</formula>
    </cfRule>
  </conditionalFormatting>
  <conditionalFormatting sqref="T27:T45">
    <cfRule type="expression" dxfId="4145" priority="4095" stopIfTrue="1">
      <formula>$A27&lt;1</formula>
    </cfRule>
  </conditionalFormatting>
  <conditionalFormatting sqref="T33:T37">
    <cfRule type="expression" dxfId="4144" priority="4094" stopIfTrue="1">
      <formula>$A33&lt;1</formula>
    </cfRule>
  </conditionalFormatting>
  <conditionalFormatting sqref="T27:T45">
    <cfRule type="expression" dxfId="4143" priority="4093" stopIfTrue="1">
      <formula>$A27&lt;1</formula>
    </cfRule>
  </conditionalFormatting>
  <conditionalFormatting sqref="T33:T37">
    <cfRule type="expression" dxfId="4142" priority="4092" stopIfTrue="1">
      <formula>$A33&lt;1</formula>
    </cfRule>
  </conditionalFormatting>
  <conditionalFormatting sqref="T27:T45">
    <cfRule type="expression" dxfId="4141" priority="4091" stopIfTrue="1">
      <formula>$A27&lt;1</formula>
    </cfRule>
  </conditionalFormatting>
  <conditionalFormatting sqref="T33:T37">
    <cfRule type="expression" dxfId="4140" priority="4090" stopIfTrue="1">
      <formula>$A33&lt;1</formula>
    </cfRule>
  </conditionalFormatting>
  <conditionalFormatting sqref="T27:T45">
    <cfRule type="expression" dxfId="4139" priority="4089" stopIfTrue="1">
      <formula>$A27&lt;1</formula>
    </cfRule>
  </conditionalFormatting>
  <conditionalFormatting sqref="T33:T37">
    <cfRule type="expression" dxfId="4138" priority="4088" stopIfTrue="1">
      <formula>$A33&lt;1</formula>
    </cfRule>
  </conditionalFormatting>
  <conditionalFormatting sqref="T27:T45">
    <cfRule type="expression" dxfId="4137" priority="4087" stopIfTrue="1">
      <formula>$A27&lt;1</formula>
    </cfRule>
  </conditionalFormatting>
  <conditionalFormatting sqref="T33:T37">
    <cfRule type="expression" dxfId="4136" priority="4086" stopIfTrue="1">
      <formula>$A33&lt;1</formula>
    </cfRule>
  </conditionalFormatting>
  <conditionalFormatting sqref="T27:T45">
    <cfRule type="expression" dxfId="4135" priority="4085" stopIfTrue="1">
      <formula>$A27&lt;1</formula>
    </cfRule>
  </conditionalFormatting>
  <conditionalFormatting sqref="T33:T37">
    <cfRule type="expression" dxfId="4134" priority="4084" stopIfTrue="1">
      <formula>$A33&lt;1</formula>
    </cfRule>
  </conditionalFormatting>
  <conditionalFormatting sqref="T27:T45">
    <cfRule type="expression" dxfId="4133" priority="4083" stopIfTrue="1">
      <formula>$A27&lt;1</formula>
    </cfRule>
  </conditionalFormatting>
  <conditionalFormatting sqref="T33:T37">
    <cfRule type="expression" dxfId="4132" priority="4082" stopIfTrue="1">
      <formula>$A33&lt;1</formula>
    </cfRule>
  </conditionalFormatting>
  <conditionalFormatting sqref="T27:T45">
    <cfRule type="expression" dxfId="4131" priority="4081" stopIfTrue="1">
      <formula>$A27&lt;1</formula>
    </cfRule>
  </conditionalFormatting>
  <conditionalFormatting sqref="T33:T37">
    <cfRule type="expression" dxfId="4130" priority="4080" stopIfTrue="1">
      <formula>$A33&lt;1</formula>
    </cfRule>
  </conditionalFormatting>
  <conditionalFormatting sqref="T27:T45">
    <cfRule type="expression" dxfId="4129" priority="4079" stopIfTrue="1">
      <formula>$A27&lt;1</formula>
    </cfRule>
  </conditionalFormatting>
  <conditionalFormatting sqref="T33:T37">
    <cfRule type="expression" dxfId="4128" priority="4078" stopIfTrue="1">
      <formula>$A33&lt;1</formula>
    </cfRule>
  </conditionalFormatting>
  <conditionalFormatting sqref="T27:T45">
    <cfRule type="expression" dxfId="4127" priority="4077" stopIfTrue="1">
      <formula>$A27&lt;1</formula>
    </cfRule>
  </conditionalFormatting>
  <conditionalFormatting sqref="T33:T37">
    <cfRule type="expression" dxfId="4126" priority="4076" stopIfTrue="1">
      <formula>$A33&lt;1</formula>
    </cfRule>
  </conditionalFormatting>
  <conditionalFormatting sqref="T27:T45">
    <cfRule type="expression" dxfId="4125" priority="4075" stopIfTrue="1">
      <formula>$A27&lt;1</formula>
    </cfRule>
  </conditionalFormatting>
  <conditionalFormatting sqref="T33:T37">
    <cfRule type="expression" dxfId="4124" priority="4074" stopIfTrue="1">
      <formula>$A33&lt;1</formula>
    </cfRule>
  </conditionalFormatting>
  <conditionalFormatting sqref="T27:T45">
    <cfRule type="expression" dxfId="4123" priority="4073" stopIfTrue="1">
      <formula>$A27&lt;1</formula>
    </cfRule>
  </conditionalFormatting>
  <conditionalFormatting sqref="T33:T37">
    <cfRule type="expression" dxfId="4122" priority="4072" stopIfTrue="1">
      <formula>$A33&lt;1</formula>
    </cfRule>
  </conditionalFormatting>
  <conditionalFormatting sqref="T27:T45">
    <cfRule type="expression" dxfId="4121" priority="4071" stopIfTrue="1">
      <formula>$A27&lt;1</formula>
    </cfRule>
  </conditionalFormatting>
  <conditionalFormatting sqref="T33:T37">
    <cfRule type="expression" dxfId="4120" priority="4070" stopIfTrue="1">
      <formula>$A33&lt;1</formula>
    </cfRule>
  </conditionalFormatting>
  <conditionalFormatting sqref="T27:T45">
    <cfRule type="expression" dxfId="4119" priority="4069" stopIfTrue="1">
      <formula>$A27&lt;1</formula>
    </cfRule>
  </conditionalFormatting>
  <conditionalFormatting sqref="T33:T37">
    <cfRule type="expression" dxfId="4118" priority="4068" stopIfTrue="1">
      <formula>$A33&lt;1</formula>
    </cfRule>
  </conditionalFormatting>
  <conditionalFormatting sqref="T27:T45">
    <cfRule type="expression" dxfId="4117" priority="4067" stopIfTrue="1">
      <formula>$A27&lt;1</formula>
    </cfRule>
  </conditionalFormatting>
  <conditionalFormatting sqref="T33:T37">
    <cfRule type="expression" dxfId="4116" priority="4066" stopIfTrue="1">
      <formula>$A33&lt;1</formula>
    </cfRule>
  </conditionalFormatting>
  <conditionalFormatting sqref="T27:T45">
    <cfRule type="expression" dxfId="4115" priority="4065" stopIfTrue="1">
      <formula>$A27&lt;1</formula>
    </cfRule>
  </conditionalFormatting>
  <conditionalFormatting sqref="T33:T37">
    <cfRule type="expression" dxfId="4114" priority="4064" stopIfTrue="1">
      <formula>$A33&lt;1</formula>
    </cfRule>
  </conditionalFormatting>
  <conditionalFormatting sqref="T27:T45">
    <cfRule type="expression" dxfId="4113" priority="4063" stopIfTrue="1">
      <formula>$A27&lt;1</formula>
    </cfRule>
  </conditionalFormatting>
  <conditionalFormatting sqref="T33:T37">
    <cfRule type="expression" dxfId="4112" priority="4062" stopIfTrue="1">
      <formula>$A33&lt;1</formula>
    </cfRule>
  </conditionalFormatting>
  <conditionalFormatting sqref="T27:T45">
    <cfRule type="expression" dxfId="4111" priority="4061" stopIfTrue="1">
      <formula>$A27&lt;1</formula>
    </cfRule>
  </conditionalFormatting>
  <conditionalFormatting sqref="T33:T37">
    <cfRule type="expression" dxfId="4110" priority="4060" stopIfTrue="1">
      <formula>$A33&lt;1</formula>
    </cfRule>
  </conditionalFormatting>
  <conditionalFormatting sqref="T27:T45">
    <cfRule type="expression" dxfId="4109" priority="4059" stopIfTrue="1">
      <formula>$A27&lt;1</formula>
    </cfRule>
  </conditionalFormatting>
  <conditionalFormatting sqref="T33:T37">
    <cfRule type="expression" dxfId="4108" priority="4058" stopIfTrue="1">
      <formula>$A33&lt;1</formula>
    </cfRule>
  </conditionalFormatting>
  <conditionalFormatting sqref="T27:T45">
    <cfRule type="expression" dxfId="4107" priority="4057" stopIfTrue="1">
      <formula>$A27&lt;1</formula>
    </cfRule>
  </conditionalFormatting>
  <conditionalFormatting sqref="T33:T37">
    <cfRule type="expression" dxfId="4106" priority="4056" stopIfTrue="1">
      <formula>$A33&lt;1</formula>
    </cfRule>
  </conditionalFormatting>
  <conditionalFormatting sqref="T27:T45">
    <cfRule type="expression" dxfId="4105" priority="4055" stopIfTrue="1">
      <formula>$A27&lt;1</formula>
    </cfRule>
  </conditionalFormatting>
  <conditionalFormatting sqref="T33:T37">
    <cfRule type="expression" dxfId="4104" priority="4054" stopIfTrue="1">
      <formula>$A33&lt;1</formula>
    </cfRule>
  </conditionalFormatting>
  <conditionalFormatting sqref="T27:T45">
    <cfRule type="expression" dxfId="4103" priority="4053" stopIfTrue="1">
      <formula>$A27&lt;1</formula>
    </cfRule>
  </conditionalFormatting>
  <conditionalFormatting sqref="T33:T37">
    <cfRule type="expression" dxfId="4102" priority="4052" stopIfTrue="1">
      <formula>$A33&lt;1</formula>
    </cfRule>
  </conditionalFormatting>
  <conditionalFormatting sqref="T27:T45">
    <cfRule type="expression" dxfId="4101" priority="4051" stopIfTrue="1">
      <formula>$A27&lt;1</formula>
    </cfRule>
  </conditionalFormatting>
  <conditionalFormatting sqref="T33:T37">
    <cfRule type="expression" dxfId="4100" priority="4050" stopIfTrue="1">
      <formula>$A33&lt;1</formula>
    </cfRule>
  </conditionalFormatting>
  <conditionalFormatting sqref="T27:T45">
    <cfRule type="expression" dxfId="4099" priority="4049" stopIfTrue="1">
      <formula>$A27&lt;1</formula>
    </cfRule>
  </conditionalFormatting>
  <conditionalFormatting sqref="T33:T37">
    <cfRule type="expression" dxfId="4098" priority="4048" stopIfTrue="1">
      <formula>$A33&lt;1</formula>
    </cfRule>
  </conditionalFormatting>
  <conditionalFormatting sqref="T27:T45">
    <cfRule type="expression" dxfId="4097" priority="4047" stopIfTrue="1">
      <formula>$A27&lt;1</formula>
    </cfRule>
  </conditionalFormatting>
  <conditionalFormatting sqref="T33:T37">
    <cfRule type="expression" dxfId="4096" priority="4046" stopIfTrue="1">
      <formula>$A33&lt;1</formula>
    </cfRule>
  </conditionalFormatting>
  <conditionalFormatting sqref="T27:T45">
    <cfRule type="expression" dxfId="4095" priority="4045" stopIfTrue="1">
      <formula>$A27&lt;1</formula>
    </cfRule>
  </conditionalFormatting>
  <conditionalFormatting sqref="T33:T37">
    <cfRule type="expression" dxfId="4094" priority="4044" stopIfTrue="1">
      <formula>$A33&lt;1</formula>
    </cfRule>
  </conditionalFormatting>
  <conditionalFormatting sqref="T27:T45">
    <cfRule type="expression" dxfId="4093" priority="4043" stopIfTrue="1">
      <formula>$A27&lt;1</formula>
    </cfRule>
  </conditionalFormatting>
  <conditionalFormatting sqref="T33:T37">
    <cfRule type="expression" dxfId="4092" priority="4042" stopIfTrue="1">
      <formula>$A33&lt;1</formula>
    </cfRule>
  </conditionalFormatting>
  <conditionalFormatting sqref="T27:T45">
    <cfRule type="expression" dxfId="4091" priority="4041" stopIfTrue="1">
      <formula>$A27&lt;1</formula>
    </cfRule>
  </conditionalFormatting>
  <conditionalFormatting sqref="T33:T37">
    <cfRule type="expression" dxfId="4090" priority="4040" stopIfTrue="1">
      <formula>$A33&lt;1</formula>
    </cfRule>
  </conditionalFormatting>
  <conditionalFormatting sqref="T27:T45">
    <cfRule type="expression" dxfId="4089" priority="4039" stopIfTrue="1">
      <formula>$A27&lt;1</formula>
    </cfRule>
  </conditionalFormatting>
  <conditionalFormatting sqref="T33:T37">
    <cfRule type="expression" dxfId="4088" priority="4038" stopIfTrue="1">
      <formula>$A33&lt;1</formula>
    </cfRule>
  </conditionalFormatting>
  <conditionalFormatting sqref="T27:T45">
    <cfRule type="expression" dxfId="4087" priority="4037" stopIfTrue="1">
      <formula>$A27&lt;1</formula>
    </cfRule>
  </conditionalFormatting>
  <conditionalFormatting sqref="T33:T37">
    <cfRule type="expression" dxfId="4086" priority="4036" stopIfTrue="1">
      <formula>$A33&lt;1</formula>
    </cfRule>
  </conditionalFormatting>
  <conditionalFormatting sqref="T27:T45">
    <cfRule type="expression" dxfId="4085" priority="4035" stopIfTrue="1">
      <formula>$A27&lt;1</formula>
    </cfRule>
  </conditionalFormatting>
  <conditionalFormatting sqref="T33:T37">
    <cfRule type="expression" dxfId="4084" priority="4034" stopIfTrue="1">
      <formula>$A33&lt;1</formula>
    </cfRule>
  </conditionalFormatting>
  <conditionalFormatting sqref="T27:T45">
    <cfRule type="expression" dxfId="4083" priority="4033" stopIfTrue="1">
      <formula>$A27&lt;1</formula>
    </cfRule>
  </conditionalFormatting>
  <conditionalFormatting sqref="T33:T37">
    <cfRule type="expression" dxfId="4082" priority="4032" stopIfTrue="1">
      <formula>$A33&lt;1</formula>
    </cfRule>
  </conditionalFormatting>
  <conditionalFormatting sqref="T27:T45">
    <cfRule type="expression" dxfId="4081" priority="4031" stopIfTrue="1">
      <formula>$A27&lt;1</formula>
    </cfRule>
  </conditionalFormatting>
  <conditionalFormatting sqref="T33:T37">
    <cfRule type="expression" dxfId="4080" priority="4030" stopIfTrue="1">
      <formula>$A33&lt;1</formula>
    </cfRule>
  </conditionalFormatting>
  <conditionalFormatting sqref="T27:T45">
    <cfRule type="expression" dxfId="4079" priority="4029" stopIfTrue="1">
      <formula>$A27&lt;1</formula>
    </cfRule>
  </conditionalFormatting>
  <conditionalFormatting sqref="T33:T37">
    <cfRule type="expression" dxfId="4078" priority="4028" stopIfTrue="1">
      <formula>$A33&lt;1</formula>
    </cfRule>
  </conditionalFormatting>
  <conditionalFormatting sqref="T27:T45">
    <cfRule type="expression" dxfId="4077" priority="4027" stopIfTrue="1">
      <formula>$A27&lt;1</formula>
    </cfRule>
  </conditionalFormatting>
  <conditionalFormatting sqref="T33:T37">
    <cfRule type="expression" dxfId="4076" priority="4026" stopIfTrue="1">
      <formula>$A33&lt;1</formula>
    </cfRule>
  </conditionalFormatting>
  <conditionalFormatting sqref="T27:T45">
    <cfRule type="expression" dxfId="4075" priority="4025" stopIfTrue="1">
      <formula>$A27&lt;1</formula>
    </cfRule>
  </conditionalFormatting>
  <conditionalFormatting sqref="T33:T37">
    <cfRule type="expression" dxfId="4074" priority="4024" stopIfTrue="1">
      <formula>$A33&lt;1</formula>
    </cfRule>
  </conditionalFormatting>
  <conditionalFormatting sqref="T27:T45">
    <cfRule type="expression" dxfId="4073" priority="4023" stopIfTrue="1">
      <formula>$A27&lt;1</formula>
    </cfRule>
  </conditionalFormatting>
  <conditionalFormatting sqref="T33:T37">
    <cfRule type="expression" dxfId="4072" priority="4022" stopIfTrue="1">
      <formula>$A33&lt;1</formula>
    </cfRule>
  </conditionalFormatting>
  <conditionalFormatting sqref="T27:T45">
    <cfRule type="expression" dxfId="4071" priority="4021" stopIfTrue="1">
      <formula>$A27&lt;1</formula>
    </cfRule>
  </conditionalFormatting>
  <conditionalFormatting sqref="T33:T37">
    <cfRule type="expression" dxfId="4070" priority="4020" stopIfTrue="1">
      <formula>$A33&lt;1</formula>
    </cfRule>
  </conditionalFormatting>
  <conditionalFormatting sqref="T27:T45">
    <cfRule type="expression" dxfId="4069" priority="4019" stopIfTrue="1">
      <formula>$A27&lt;1</formula>
    </cfRule>
  </conditionalFormatting>
  <conditionalFormatting sqref="T33:T37">
    <cfRule type="expression" dxfId="4068" priority="4018" stopIfTrue="1">
      <formula>$A33&lt;1</formula>
    </cfRule>
  </conditionalFormatting>
  <conditionalFormatting sqref="T27:T45">
    <cfRule type="expression" dxfId="4067" priority="4017" stopIfTrue="1">
      <formula>$A27&lt;1</formula>
    </cfRule>
  </conditionalFormatting>
  <conditionalFormatting sqref="T33:T37">
    <cfRule type="expression" dxfId="4066" priority="4016" stopIfTrue="1">
      <formula>$A33&lt;1</formula>
    </cfRule>
  </conditionalFormatting>
  <conditionalFormatting sqref="T27:T45">
    <cfRule type="expression" dxfId="4065" priority="4015" stopIfTrue="1">
      <formula>$A27&lt;1</formula>
    </cfRule>
  </conditionalFormatting>
  <conditionalFormatting sqref="T33:T37">
    <cfRule type="expression" dxfId="4064" priority="4014" stopIfTrue="1">
      <formula>$A33&lt;1</formula>
    </cfRule>
  </conditionalFormatting>
  <conditionalFormatting sqref="T27:T45">
    <cfRule type="expression" dxfId="4063" priority="4013" stopIfTrue="1">
      <formula>$A27&lt;1</formula>
    </cfRule>
  </conditionalFormatting>
  <conditionalFormatting sqref="T33:T37">
    <cfRule type="expression" dxfId="4062" priority="4012" stopIfTrue="1">
      <formula>$A33&lt;1</formula>
    </cfRule>
  </conditionalFormatting>
  <conditionalFormatting sqref="T27:T45">
    <cfRule type="expression" dxfId="4061" priority="4011" stopIfTrue="1">
      <formula>$A27&lt;1</formula>
    </cfRule>
  </conditionalFormatting>
  <conditionalFormatting sqref="T33:T37">
    <cfRule type="expression" dxfId="4060" priority="4010" stopIfTrue="1">
      <formula>$A33&lt;1</formula>
    </cfRule>
  </conditionalFormatting>
  <conditionalFormatting sqref="T27:T45">
    <cfRule type="expression" dxfId="4059" priority="4009" stopIfTrue="1">
      <formula>$A27&lt;1</formula>
    </cfRule>
  </conditionalFormatting>
  <conditionalFormatting sqref="T33:T37">
    <cfRule type="expression" dxfId="4058" priority="4008" stopIfTrue="1">
      <formula>$A33&lt;1</formula>
    </cfRule>
  </conditionalFormatting>
  <conditionalFormatting sqref="T27:T45">
    <cfRule type="expression" dxfId="4057" priority="4007" stopIfTrue="1">
      <formula>$A27&lt;1</formula>
    </cfRule>
  </conditionalFormatting>
  <conditionalFormatting sqref="T33:T37">
    <cfRule type="expression" dxfId="4056" priority="4006" stopIfTrue="1">
      <formula>$A33&lt;1</formula>
    </cfRule>
  </conditionalFormatting>
  <conditionalFormatting sqref="T27:T45">
    <cfRule type="expression" dxfId="4055" priority="4005" stopIfTrue="1">
      <formula>$A27&lt;1</formula>
    </cfRule>
  </conditionalFormatting>
  <conditionalFormatting sqref="T33:T37">
    <cfRule type="expression" dxfId="4054" priority="4004" stopIfTrue="1">
      <formula>$A33&lt;1</formula>
    </cfRule>
  </conditionalFormatting>
  <conditionalFormatting sqref="T27:T45">
    <cfRule type="expression" dxfId="4053" priority="4003" stopIfTrue="1">
      <formula>$A27&lt;1</formula>
    </cfRule>
  </conditionalFormatting>
  <conditionalFormatting sqref="T33:T37">
    <cfRule type="expression" dxfId="4052" priority="4002" stopIfTrue="1">
      <formula>$A33&lt;1</formula>
    </cfRule>
  </conditionalFormatting>
  <conditionalFormatting sqref="T27:T45">
    <cfRule type="expression" dxfId="4051" priority="4001" stopIfTrue="1">
      <formula>$A27&lt;1</formula>
    </cfRule>
  </conditionalFormatting>
  <conditionalFormatting sqref="T33:T37">
    <cfRule type="expression" dxfId="4050" priority="4000" stopIfTrue="1">
      <formula>$A33&lt;1</formula>
    </cfRule>
  </conditionalFormatting>
  <conditionalFormatting sqref="T27:T45">
    <cfRule type="expression" dxfId="4049" priority="3999" stopIfTrue="1">
      <formula>$A27&lt;1</formula>
    </cfRule>
  </conditionalFormatting>
  <conditionalFormatting sqref="T33:T37">
    <cfRule type="expression" dxfId="4048" priority="3998" stopIfTrue="1">
      <formula>$A33&lt;1</formula>
    </cfRule>
  </conditionalFormatting>
  <conditionalFormatting sqref="T27:T45">
    <cfRule type="expression" dxfId="4047" priority="3997" stopIfTrue="1">
      <formula>$A27&lt;1</formula>
    </cfRule>
  </conditionalFormatting>
  <conditionalFormatting sqref="T33:T37">
    <cfRule type="expression" dxfId="4046" priority="3996" stopIfTrue="1">
      <formula>$A33&lt;1</formula>
    </cfRule>
  </conditionalFormatting>
  <conditionalFormatting sqref="T27:T45">
    <cfRule type="expression" dxfId="4045" priority="3995" stopIfTrue="1">
      <formula>$A27&lt;1</formula>
    </cfRule>
  </conditionalFormatting>
  <conditionalFormatting sqref="T33:T37">
    <cfRule type="expression" dxfId="4044" priority="3994" stopIfTrue="1">
      <formula>$A33&lt;1</formula>
    </cfRule>
  </conditionalFormatting>
  <conditionalFormatting sqref="T27:T45">
    <cfRule type="expression" dxfId="4043" priority="3993" stopIfTrue="1">
      <formula>$A27&lt;1</formula>
    </cfRule>
  </conditionalFormatting>
  <conditionalFormatting sqref="T33:T37">
    <cfRule type="expression" dxfId="4042" priority="3992" stopIfTrue="1">
      <formula>$A33&lt;1</formula>
    </cfRule>
  </conditionalFormatting>
  <conditionalFormatting sqref="T27:T45">
    <cfRule type="expression" dxfId="4041" priority="3991" stopIfTrue="1">
      <formula>$A27&lt;1</formula>
    </cfRule>
  </conditionalFormatting>
  <conditionalFormatting sqref="T33:T37">
    <cfRule type="expression" dxfId="4040" priority="3990" stopIfTrue="1">
      <formula>$A33&lt;1</formula>
    </cfRule>
  </conditionalFormatting>
  <conditionalFormatting sqref="T27:T45">
    <cfRule type="expression" dxfId="4039" priority="3989" stopIfTrue="1">
      <formula>$A27&lt;1</formula>
    </cfRule>
  </conditionalFormatting>
  <conditionalFormatting sqref="T33:T37">
    <cfRule type="expression" dxfId="4038" priority="3988" stopIfTrue="1">
      <formula>$A33&lt;1</formula>
    </cfRule>
  </conditionalFormatting>
  <conditionalFormatting sqref="T27:T45">
    <cfRule type="expression" dxfId="4037" priority="3987" stopIfTrue="1">
      <formula>$A27&lt;1</formula>
    </cfRule>
  </conditionalFormatting>
  <conditionalFormatting sqref="T33:T37">
    <cfRule type="expression" dxfId="4036" priority="3986" stopIfTrue="1">
      <formula>$A33&lt;1</formula>
    </cfRule>
  </conditionalFormatting>
  <conditionalFormatting sqref="T27:T45">
    <cfRule type="expression" dxfId="4035" priority="3985" stopIfTrue="1">
      <formula>$A27&lt;1</formula>
    </cfRule>
  </conditionalFormatting>
  <conditionalFormatting sqref="T33:T37">
    <cfRule type="expression" dxfId="4034" priority="3984" stopIfTrue="1">
      <formula>$A33&lt;1</formula>
    </cfRule>
  </conditionalFormatting>
  <conditionalFormatting sqref="T27:T45">
    <cfRule type="expression" dxfId="4033" priority="3983" stopIfTrue="1">
      <formula>$A27&lt;1</formula>
    </cfRule>
  </conditionalFormatting>
  <conditionalFormatting sqref="T33:T37">
    <cfRule type="expression" dxfId="4032" priority="3982" stopIfTrue="1">
      <formula>$A33&lt;1</formula>
    </cfRule>
  </conditionalFormatting>
  <conditionalFormatting sqref="T27:T45">
    <cfRule type="expression" dxfId="4031" priority="3981" stopIfTrue="1">
      <formula>$A27&lt;1</formula>
    </cfRule>
  </conditionalFormatting>
  <conditionalFormatting sqref="T33:T37">
    <cfRule type="expression" dxfId="4030" priority="3980" stopIfTrue="1">
      <formula>$A33&lt;1</formula>
    </cfRule>
  </conditionalFormatting>
  <conditionalFormatting sqref="T27:T45">
    <cfRule type="expression" dxfId="4029" priority="3979" stopIfTrue="1">
      <formula>$A27&lt;1</formula>
    </cfRule>
  </conditionalFormatting>
  <conditionalFormatting sqref="T33:T37">
    <cfRule type="expression" dxfId="4028" priority="3978" stopIfTrue="1">
      <formula>$A33&lt;1</formula>
    </cfRule>
  </conditionalFormatting>
  <conditionalFormatting sqref="T27:T45">
    <cfRule type="expression" dxfId="4027" priority="3977" stopIfTrue="1">
      <formula>$A27&lt;1</formula>
    </cfRule>
  </conditionalFormatting>
  <conditionalFormatting sqref="T33:T37">
    <cfRule type="expression" dxfId="4026" priority="3976" stopIfTrue="1">
      <formula>$A33&lt;1</formula>
    </cfRule>
  </conditionalFormatting>
  <conditionalFormatting sqref="T27:T45">
    <cfRule type="expression" dxfId="4025" priority="3975" stopIfTrue="1">
      <formula>$A27&lt;1</formula>
    </cfRule>
  </conditionalFormatting>
  <conditionalFormatting sqref="T33:T37">
    <cfRule type="expression" dxfId="4024" priority="3974" stopIfTrue="1">
      <formula>$A33&lt;1</formula>
    </cfRule>
  </conditionalFormatting>
  <conditionalFormatting sqref="T27:T45">
    <cfRule type="expression" dxfId="4023" priority="3973" stopIfTrue="1">
      <formula>$A27&lt;1</formula>
    </cfRule>
  </conditionalFormatting>
  <conditionalFormatting sqref="T33:T37">
    <cfRule type="expression" dxfId="4022" priority="3972" stopIfTrue="1">
      <formula>$A33&lt;1</formula>
    </cfRule>
  </conditionalFormatting>
  <conditionalFormatting sqref="T27:T45">
    <cfRule type="expression" dxfId="4021" priority="3971" stopIfTrue="1">
      <formula>$A27&lt;1</formula>
    </cfRule>
  </conditionalFormatting>
  <conditionalFormatting sqref="T33:T37">
    <cfRule type="expression" dxfId="4020" priority="3970" stopIfTrue="1">
      <formula>$A33&lt;1</formula>
    </cfRule>
  </conditionalFormatting>
  <conditionalFormatting sqref="T27:T45">
    <cfRule type="expression" dxfId="4019" priority="3969" stopIfTrue="1">
      <formula>$A27&lt;1</formula>
    </cfRule>
  </conditionalFormatting>
  <conditionalFormatting sqref="T33:T37">
    <cfRule type="expression" dxfId="4018" priority="3968" stopIfTrue="1">
      <formula>$A33&lt;1</formula>
    </cfRule>
  </conditionalFormatting>
  <conditionalFormatting sqref="T27:T45">
    <cfRule type="expression" dxfId="4017" priority="3967" stopIfTrue="1">
      <formula>$A27&lt;1</formula>
    </cfRule>
  </conditionalFormatting>
  <conditionalFormatting sqref="T33:T37">
    <cfRule type="expression" dxfId="4016" priority="3966" stopIfTrue="1">
      <formula>$A33&lt;1</formula>
    </cfRule>
  </conditionalFormatting>
  <conditionalFormatting sqref="T27:T45">
    <cfRule type="expression" dxfId="4015" priority="3965" stopIfTrue="1">
      <formula>$A27&lt;1</formula>
    </cfRule>
  </conditionalFormatting>
  <conditionalFormatting sqref="T33:T37">
    <cfRule type="expression" dxfId="4014" priority="3964" stopIfTrue="1">
      <formula>$A33&lt;1</formula>
    </cfRule>
  </conditionalFormatting>
  <conditionalFormatting sqref="T27:T45">
    <cfRule type="expression" dxfId="4013" priority="3963" stopIfTrue="1">
      <formula>$A27&lt;1</formula>
    </cfRule>
  </conditionalFormatting>
  <conditionalFormatting sqref="T33:T37">
    <cfRule type="expression" dxfId="4012" priority="3962" stopIfTrue="1">
      <formula>$A33&lt;1</formula>
    </cfRule>
  </conditionalFormatting>
  <conditionalFormatting sqref="T27:T45">
    <cfRule type="expression" dxfId="4011" priority="3961" stopIfTrue="1">
      <formula>$A27&lt;1</formula>
    </cfRule>
  </conditionalFormatting>
  <conditionalFormatting sqref="T33:T37">
    <cfRule type="expression" dxfId="4010" priority="3960" stopIfTrue="1">
      <formula>$A33&lt;1</formula>
    </cfRule>
  </conditionalFormatting>
  <conditionalFormatting sqref="T27:T45">
    <cfRule type="expression" dxfId="4009" priority="3959" stopIfTrue="1">
      <formula>$A27&lt;1</formula>
    </cfRule>
  </conditionalFormatting>
  <conditionalFormatting sqref="T33:T37">
    <cfRule type="expression" dxfId="4008" priority="3958" stopIfTrue="1">
      <formula>$A33&lt;1</formula>
    </cfRule>
  </conditionalFormatting>
  <conditionalFormatting sqref="T27:T45">
    <cfRule type="expression" dxfId="4007" priority="3957" stopIfTrue="1">
      <formula>$A27&lt;1</formula>
    </cfRule>
  </conditionalFormatting>
  <conditionalFormatting sqref="T33:T37">
    <cfRule type="expression" dxfId="4006" priority="3956" stopIfTrue="1">
      <formula>$A33&lt;1</formula>
    </cfRule>
  </conditionalFormatting>
  <conditionalFormatting sqref="T27:T45">
    <cfRule type="expression" dxfId="4005" priority="3955" stopIfTrue="1">
      <formula>$A27&lt;1</formula>
    </cfRule>
  </conditionalFormatting>
  <conditionalFormatting sqref="T33:T37">
    <cfRule type="expression" dxfId="4004" priority="3954" stopIfTrue="1">
      <formula>$A33&lt;1</formula>
    </cfRule>
  </conditionalFormatting>
  <conditionalFormatting sqref="T27:T45">
    <cfRule type="expression" dxfId="4003" priority="3953" stopIfTrue="1">
      <formula>$A27&lt;1</formula>
    </cfRule>
  </conditionalFormatting>
  <conditionalFormatting sqref="T33:T37">
    <cfRule type="expression" dxfId="4002" priority="3952" stopIfTrue="1">
      <formula>$A33&lt;1</formula>
    </cfRule>
  </conditionalFormatting>
  <conditionalFormatting sqref="T27:T45">
    <cfRule type="expression" dxfId="4001" priority="3951" stopIfTrue="1">
      <formula>$A27&lt;1</formula>
    </cfRule>
  </conditionalFormatting>
  <conditionalFormatting sqref="T33:T37">
    <cfRule type="expression" dxfId="4000" priority="3950" stopIfTrue="1">
      <formula>$A33&lt;1</formula>
    </cfRule>
  </conditionalFormatting>
  <conditionalFormatting sqref="T27:T45">
    <cfRule type="expression" dxfId="3999" priority="3949" stopIfTrue="1">
      <formula>$A27&lt;1</formula>
    </cfRule>
  </conditionalFormatting>
  <conditionalFormatting sqref="T33:T37">
    <cfRule type="expression" dxfId="3998" priority="3948" stopIfTrue="1">
      <formula>$A33&lt;1</formula>
    </cfRule>
  </conditionalFormatting>
  <conditionalFormatting sqref="T27:T45">
    <cfRule type="expression" dxfId="3997" priority="3947" stopIfTrue="1">
      <formula>$A27&lt;1</formula>
    </cfRule>
  </conditionalFormatting>
  <conditionalFormatting sqref="T33:T37">
    <cfRule type="expression" dxfId="3996" priority="3946" stopIfTrue="1">
      <formula>$A33&lt;1</formula>
    </cfRule>
  </conditionalFormatting>
  <conditionalFormatting sqref="T27:T45">
    <cfRule type="expression" dxfId="3995" priority="3945" stopIfTrue="1">
      <formula>$A27&lt;1</formula>
    </cfRule>
  </conditionalFormatting>
  <conditionalFormatting sqref="T33:T37">
    <cfRule type="expression" dxfId="3994" priority="3944" stopIfTrue="1">
      <formula>$A33&lt;1</formula>
    </cfRule>
  </conditionalFormatting>
  <conditionalFormatting sqref="T27:T45">
    <cfRule type="expression" dxfId="3993" priority="3943" stopIfTrue="1">
      <formula>$A27&lt;1</formula>
    </cfRule>
  </conditionalFormatting>
  <conditionalFormatting sqref="T33:T37">
    <cfRule type="expression" dxfId="3992" priority="3942" stopIfTrue="1">
      <formula>$A33&lt;1</formula>
    </cfRule>
  </conditionalFormatting>
  <conditionalFormatting sqref="T27:T45">
    <cfRule type="expression" dxfId="3991" priority="3941" stopIfTrue="1">
      <formula>$A27&lt;1</formula>
    </cfRule>
  </conditionalFormatting>
  <conditionalFormatting sqref="T33:T37">
    <cfRule type="expression" dxfId="3990" priority="3940" stopIfTrue="1">
      <formula>$A33&lt;1</formula>
    </cfRule>
  </conditionalFormatting>
  <conditionalFormatting sqref="T27:T45">
    <cfRule type="expression" dxfId="3989" priority="3939" stopIfTrue="1">
      <formula>$A27&lt;1</formula>
    </cfRule>
  </conditionalFormatting>
  <conditionalFormatting sqref="T33:T37">
    <cfRule type="expression" dxfId="3988" priority="3938" stopIfTrue="1">
      <formula>$A33&lt;1</formula>
    </cfRule>
  </conditionalFormatting>
  <conditionalFormatting sqref="T27:T45">
    <cfRule type="expression" dxfId="3987" priority="3937" stopIfTrue="1">
      <formula>$A27&lt;1</formula>
    </cfRule>
  </conditionalFormatting>
  <conditionalFormatting sqref="T33:T37">
    <cfRule type="expression" dxfId="3986" priority="3936" stopIfTrue="1">
      <formula>$A33&lt;1</formula>
    </cfRule>
  </conditionalFormatting>
  <conditionalFormatting sqref="T27:T45">
    <cfRule type="expression" dxfId="3985" priority="3935" stopIfTrue="1">
      <formula>$A27&lt;1</formula>
    </cfRule>
  </conditionalFormatting>
  <conditionalFormatting sqref="T33:T37">
    <cfRule type="expression" dxfId="3984" priority="3934" stopIfTrue="1">
      <formula>$A33&lt;1</formula>
    </cfRule>
  </conditionalFormatting>
  <conditionalFormatting sqref="T27:T45">
    <cfRule type="expression" dxfId="3983" priority="3933" stopIfTrue="1">
      <formula>$A27&lt;1</formula>
    </cfRule>
  </conditionalFormatting>
  <conditionalFormatting sqref="T33:T37">
    <cfRule type="expression" dxfId="3982" priority="3932" stopIfTrue="1">
      <formula>$A33&lt;1</formula>
    </cfRule>
  </conditionalFormatting>
  <conditionalFormatting sqref="T27:T45">
    <cfRule type="expression" dxfId="3981" priority="3931" stopIfTrue="1">
      <formula>$A27&lt;1</formula>
    </cfRule>
  </conditionalFormatting>
  <conditionalFormatting sqref="T33:T37">
    <cfRule type="expression" dxfId="3980" priority="3930" stopIfTrue="1">
      <formula>$A33&lt;1</formula>
    </cfRule>
  </conditionalFormatting>
  <conditionalFormatting sqref="T27:T45">
    <cfRule type="expression" dxfId="3979" priority="3929" stopIfTrue="1">
      <formula>$A27&lt;1</formula>
    </cfRule>
  </conditionalFormatting>
  <conditionalFormatting sqref="T33:T37">
    <cfRule type="expression" dxfId="3978" priority="3928" stopIfTrue="1">
      <formula>$A33&lt;1</formula>
    </cfRule>
  </conditionalFormatting>
  <conditionalFormatting sqref="T27:T45">
    <cfRule type="expression" dxfId="3977" priority="3927" stopIfTrue="1">
      <formula>$A27&lt;1</formula>
    </cfRule>
  </conditionalFormatting>
  <conditionalFormatting sqref="T33:T37">
    <cfRule type="expression" dxfId="3976" priority="3926" stopIfTrue="1">
      <formula>$A33&lt;1</formula>
    </cfRule>
  </conditionalFormatting>
  <conditionalFormatting sqref="T27:T45">
    <cfRule type="expression" dxfId="3975" priority="3925" stopIfTrue="1">
      <formula>$A27&lt;1</formula>
    </cfRule>
  </conditionalFormatting>
  <conditionalFormatting sqref="T33:T37">
    <cfRule type="expression" dxfId="3974" priority="3924" stopIfTrue="1">
      <formula>$A33&lt;1</formula>
    </cfRule>
  </conditionalFormatting>
  <conditionalFormatting sqref="T27:T45">
    <cfRule type="expression" dxfId="3973" priority="3923" stopIfTrue="1">
      <formula>$A27&lt;1</formula>
    </cfRule>
  </conditionalFormatting>
  <conditionalFormatting sqref="T33:T37">
    <cfRule type="expression" dxfId="3972" priority="3922" stopIfTrue="1">
      <formula>$A33&lt;1</formula>
    </cfRule>
  </conditionalFormatting>
  <conditionalFormatting sqref="T27:T45">
    <cfRule type="expression" dxfId="3971" priority="3921" stopIfTrue="1">
      <formula>$A27&lt;1</formula>
    </cfRule>
  </conditionalFormatting>
  <conditionalFormatting sqref="T33:T37">
    <cfRule type="expression" dxfId="3970" priority="3920" stopIfTrue="1">
      <formula>$A33&lt;1</formula>
    </cfRule>
  </conditionalFormatting>
  <conditionalFormatting sqref="T27:T45">
    <cfRule type="expression" dxfId="3969" priority="3919" stopIfTrue="1">
      <formula>$A27&lt;1</formula>
    </cfRule>
  </conditionalFormatting>
  <conditionalFormatting sqref="T33:T37">
    <cfRule type="expression" dxfId="3968" priority="3918" stopIfTrue="1">
      <formula>$A33&lt;1</formula>
    </cfRule>
  </conditionalFormatting>
  <conditionalFormatting sqref="T27:T45">
    <cfRule type="expression" dxfId="3967" priority="3917" stopIfTrue="1">
      <formula>$A27&lt;1</formula>
    </cfRule>
  </conditionalFormatting>
  <conditionalFormatting sqref="T33:T37">
    <cfRule type="expression" dxfId="3966" priority="3916" stopIfTrue="1">
      <formula>$A33&lt;1</formula>
    </cfRule>
  </conditionalFormatting>
  <conditionalFormatting sqref="T27:T45">
    <cfRule type="expression" dxfId="3965" priority="3915" stopIfTrue="1">
      <formula>$A27&lt;1</formula>
    </cfRule>
  </conditionalFormatting>
  <conditionalFormatting sqref="T33:T37">
    <cfRule type="expression" dxfId="3964" priority="3914" stopIfTrue="1">
      <formula>$A33&lt;1</formula>
    </cfRule>
  </conditionalFormatting>
  <conditionalFormatting sqref="T27:T45">
    <cfRule type="expression" dxfId="3963" priority="3913" stopIfTrue="1">
      <formula>$A27&lt;1</formula>
    </cfRule>
  </conditionalFormatting>
  <conditionalFormatting sqref="T33:T37">
    <cfRule type="expression" dxfId="3962" priority="3912" stopIfTrue="1">
      <formula>$A33&lt;1</formula>
    </cfRule>
  </conditionalFormatting>
  <conditionalFormatting sqref="T27:T45">
    <cfRule type="expression" dxfId="3961" priority="3911" stopIfTrue="1">
      <formula>$A27&lt;1</formula>
    </cfRule>
  </conditionalFormatting>
  <conditionalFormatting sqref="T33:T37">
    <cfRule type="expression" dxfId="3960" priority="3910" stopIfTrue="1">
      <formula>$A33&lt;1</formula>
    </cfRule>
  </conditionalFormatting>
  <conditionalFormatting sqref="T27:T45">
    <cfRule type="expression" dxfId="3959" priority="3909" stopIfTrue="1">
      <formula>$A27&lt;1</formula>
    </cfRule>
  </conditionalFormatting>
  <conditionalFormatting sqref="T33:T37">
    <cfRule type="expression" dxfId="3958" priority="3908" stopIfTrue="1">
      <formula>$A33&lt;1</formula>
    </cfRule>
  </conditionalFormatting>
  <conditionalFormatting sqref="T27:T45">
    <cfRule type="expression" dxfId="3957" priority="3907" stopIfTrue="1">
      <formula>$A27&lt;1</formula>
    </cfRule>
  </conditionalFormatting>
  <conditionalFormatting sqref="T33:T37">
    <cfRule type="expression" dxfId="3956" priority="3906" stopIfTrue="1">
      <formula>$A33&lt;1</formula>
    </cfRule>
  </conditionalFormatting>
  <conditionalFormatting sqref="T27:T45">
    <cfRule type="expression" dxfId="3955" priority="3905" stopIfTrue="1">
      <formula>$A27&lt;1</formula>
    </cfRule>
  </conditionalFormatting>
  <conditionalFormatting sqref="T33:T37">
    <cfRule type="expression" dxfId="3954" priority="3904" stopIfTrue="1">
      <formula>$A33&lt;1</formula>
    </cfRule>
  </conditionalFormatting>
  <conditionalFormatting sqref="T27:T45">
    <cfRule type="expression" dxfId="3953" priority="3903" stopIfTrue="1">
      <formula>$A27&lt;1</formula>
    </cfRule>
  </conditionalFormatting>
  <conditionalFormatting sqref="T33:T37">
    <cfRule type="expression" dxfId="3952" priority="3902" stopIfTrue="1">
      <formula>$A33&lt;1</formula>
    </cfRule>
  </conditionalFormatting>
  <conditionalFormatting sqref="T27:T45">
    <cfRule type="expression" dxfId="3951" priority="3901" stopIfTrue="1">
      <formula>$A27&lt;1</formula>
    </cfRule>
  </conditionalFormatting>
  <conditionalFormatting sqref="T33:T37">
    <cfRule type="expression" dxfId="3950" priority="3900" stopIfTrue="1">
      <formula>$A33&lt;1</formula>
    </cfRule>
  </conditionalFormatting>
  <conditionalFormatting sqref="T27:T45">
    <cfRule type="expression" dxfId="3949" priority="3899" stopIfTrue="1">
      <formula>$A27&lt;1</formula>
    </cfRule>
  </conditionalFormatting>
  <conditionalFormatting sqref="T33:T37">
    <cfRule type="expression" dxfId="3948" priority="3898" stopIfTrue="1">
      <formula>$A33&lt;1</formula>
    </cfRule>
  </conditionalFormatting>
  <conditionalFormatting sqref="T27:T45">
    <cfRule type="expression" dxfId="3947" priority="3897" stopIfTrue="1">
      <formula>$A27&lt;1</formula>
    </cfRule>
  </conditionalFormatting>
  <conditionalFormatting sqref="T33:T37">
    <cfRule type="expression" dxfId="3946" priority="3896" stopIfTrue="1">
      <formula>$A33&lt;1</formula>
    </cfRule>
  </conditionalFormatting>
  <conditionalFormatting sqref="T27:T45">
    <cfRule type="expression" dxfId="3945" priority="3895" stopIfTrue="1">
      <formula>$A27&lt;1</formula>
    </cfRule>
  </conditionalFormatting>
  <conditionalFormatting sqref="T33:T37">
    <cfRule type="expression" dxfId="3944" priority="3894" stopIfTrue="1">
      <formula>$A33&lt;1</formula>
    </cfRule>
  </conditionalFormatting>
  <conditionalFormatting sqref="T27:T45">
    <cfRule type="expression" dxfId="3943" priority="3893" stopIfTrue="1">
      <formula>$A27&lt;1</formula>
    </cfRule>
  </conditionalFormatting>
  <conditionalFormatting sqref="T33:T37">
    <cfRule type="expression" dxfId="3942" priority="3892" stopIfTrue="1">
      <formula>$A33&lt;1</formula>
    </cfRule>
  </conditionalFormatting>
  <conditionalFormatting sqref="T27:T45">
    <cfRule type="expression" dxfId="3941" priority="3891" stopIfTrue="1">
      <formula>$A27&lt;1</formula>
    </cfRule>
  </conditionalFormatting>
  <conditionalFormatting sqref="T33:T37">
    <cfRule type="expression" dxfId="3940" priority="3890" stopIfTrue="1">
      <formula>$A33&lt;1</formula>
    </cfRule>
  </conditionalFormatting>
  <conditionalFormatting sqref="T27:T45">
    <cfRule type="expression" dxfId="3939" priority="3889" stopIfTrue="1">
      <formula>$A27&lt;1</formula>
    </cfRule>
  </conditionalFormatting>
  <conditionalFormatting sqref="T33:T37">
    <cfRule type="expression" dxfId="3938" priority="3888" stopIfTrue="1">
      <formula>$A33&lt;1</formula>
    </cfRule>
  </conditionalFormatting>
  <conditionalFormatting sqref="T27:T45">
    <cfRule type="expression" dxfId="3937" priority="3887" stopIfTrue="1">
      <formula>$A27&lt;1</formula>
    </cfRule>
  </conditionalFormatting>
  <conditionalFormatting sqref="T33:T37">
    <cfRule type="expression" dxfId="3936" priority="3886" stopIfTrue="1">
      <formula>$A33&lt;1</formula>
    </cfRule>
  </conditionalFormatting>
  <conditionalFormatting sqref="T27:T45">
    <cfRule type="expression" dxfId="3935" priority="3885" stopIfTrue="1">
      <formula>$A27&lt;1</formula>
    </cfRule>
  </conditionalFormatting>
  <conditionalFormatting sqref="T33:T37">
    <cfRule type="expression" dxfId="3934" priority="3884" stopIfTrue="1">
      <formula>$A33&lt;1</formula>
    </cfRule>
  </conditionalFormatting>
  <conditionalFormatting sqref="T27:T45">
    <cfRule type="expression" dxfId="3933" priority="3883" stopIfTrue="1">
      <formula>$A27&lt;1</formula>
    </cfRule>
  </conditionalFormatting>
  <conditionalFormatting sqref="T33:T37">
    <cfRule type="expression" dxfId="3932" priority="3882" stopIfTrue="1">
      <formula>$A33&lt;1</formula>
    </cfRule>
  </conditionalFormatting>
  <conditionalFormatting sqref="T27:T45">
    <cfRule type="expression" dxfId="3931" priority="3881" stopIfTrue="1">
      <formula>$A27&lt;1</formula>
    </cfRule>
  </conditionalFormatting>
  <conditionalFormatting sqref="T33:T37">
    <cfRule type="expression" dxfId="3930" priority="3880" stopIfTrue="1">
      <formula>$A33&lt;1</formula>
    </cfRule>
  </conditionalFormatting>
  <conditionalFormatting sqref="T27:T45">
    <cfRule type="expression" dxfId="3929" priority="3879" stopIfTrue="1">
      <formula>$A27&lt;1</formula>
    </cfRule>
  </conditionalFormatting>
  <conditionalFormatting sqref="T33:T37">
    <cfRule type="expression" dxfId="3928" priority="3878" stopIfTrue="1">
      <formula>$A33&lt;1</formula>
    </cfRule>
  </conditionalFormatting>
  <conditionalFormatting sqref="T27:T45">
    <cfRule type="expression" dxfId="3927" priority="3877" stopIfTrue="1">
      <formula>$A27&lt;1</formula>
    </cfRule>
  </conditionalFormatting>
  <conditionalFormatting sqref="T33:T37">
    <cfRule type="expression" dxfId="3926" priority="3876" stopIfTrue="1">
      <formula>$A33&lt;1</formula>
    </cfRule>
  </conditionalFormatting>
  <conditionalFormatting sqref="T27:T45">
    <cfRule type="expression" dxfId="3925" priority="3875" stopIfTrue="1">
      <formula>$A27&lt;1</formula>
    </cfRule>
  </conditionalFormatting>
  <conditionalFormatting sqref="T33:T37">
    <cfRule type="expression" dxfId="3924" priority="3874" stopIfTrue="1">
      <formula>$A33&lt;1</formula>
    </cfRule>
  </conditionalFormatting>
  <conditionalFormatting sqref="T27:T45">
    <cfRule type="expression" dxfId="3923" priority="3873" stopIfTrue="1">
      <formula>$A27&lt;1</formula>
    </cfRule>
  </conditionalFormatting>
  <conditionalFormatting sqref="T33:T37">
    <cfRule type="expression" dxfId="3922" priority="3872" stopIfTrue="1">
      <formula>$A33&lt;1</formula>
    </cfRule>
  </conditionalFormatting>
  <conditionalFormatting sqref="T27:T45">
    <cfRule type="expression" dxfId="3921" priority="3871" stopIfTrue="1">
      <formula>$A27&lt;1</formula>
    </cfRule>
  </conditionalFormatting>
  <conditionalFormatting sqref="T33:T37">
    <cfRule type="expression" dxfId="3920" priority="3870" stopIfTrue="1">
      <formula>$A33&lt;1</formula>
    </cfRule>
  </conditionalFormatting>
  <conditionalFormatting sqref="T27:T45">
    <cfRule type="expression" dxfId="3919" priority="3869" stopIfTrue="1">
      <formula>$A27&lt;1</formula>
    </cfRule>
  </conditionalFormatting>
  <conditionalFormatting sqref="T33:T37">
    <cfRule type="expression" dxfId="3918" priority="3868" stopIfTrue="1">
      <formula>$A33&lt;1</formula>
    </cfRule>
  </conditionalFormatting>
  <conditionalFormatting sqref="T27:T45">
    <cfRule type="expression" dxfId="3917" priority="3867" stopIfTrue="1">
      <formula>$A27&lt;1</formula>
    </cfRule>
  </conditionalFormatting>
  <conditionalFormatting sqref="T33:T37">
    <cfRule type="expression" dxfId="3916" priority="3866" stopIfTrue="1">
      <formula>$A33&lt;1</formula>
    </cfRule>
  </conditionalFormatting>
  <conditionalFormatting sqref="T27:T45">
    <cfRule type="expression" dxfId="3915" priority="3865" stopIfTrue="1">
      <formula>$A27&lt;1</formula>
    </cfRule>
  </conditionalFormatting>
  <conditionalFormatting sqref="T33:T37">
    <cfRule type="expression" dxfId="3914" priority="3864" stopIfTrue="1">
      <formula>$A33&lt;1</formula>
    </cfRule>
  </conditionalFormatting>
  <conditionalFormatting sqref="T27:T45">
    <cfRule type="expression" dxfId="3913" priority="3863" stopIfTrue="1">
      <formula>$A27&lt;1</formula>
    </cfRule>
  </conditionalFormatting>
  <conditionalFormatting sqref="A27:A124 B26:B127 W126:W130 AC26:AC126 AD27:AG124 Q33:R125 S125 U26:W125 AF26 Y26:Y124 X27:X124 Z27:AB124 T33:T124 F26:G26 C27:P124">
    <cfRule type="expression" dxfId="3912" priority="3862" stopIfTrue="1">
      <formula>$A26&lt;1</formula>
    </cfRule>
  </conditionalFormatting>
  <conditionalFormatting sqref="A26 AD26:AG26 X26:AB26 F27:F119 N27:P122 Q27:R121 AF27:AF121 Y27:Y124 C26:T26 S27:S124 G27:G45">
    <cfRule type="expression" dxfId="3911" priority="3861" stopIfTrue="1">
      <formula>$A26&lt;1</formula>
    </cfRule>
  </conditionalFormatting>
  <conditionalFormatting sqref="T27:T45">
    <cfRule type="expression" dxfId="3910" priority="3860" stopIfTrue="1">
      <formula>$A27&lt;1</formula>
    </cfRule>
  </conditionalFormatting>
  <conditionalFormatting sqref="N26:P122">
    <cfRule type="expression" dxfId="3909" priority="3859" stopIfTrue="1">
      <formula>$A26&lt;1</formula>
    </cfRule>
  </conditionalFormatting>
  <conditionalFormatting sqref="F29">
    <cfRule type="expression" dxfId="3908" priority="3858" stopIfTrue="1">
      <formula>$A29&lt;1</formula>
    </cfRule>
  </conditionalFormatting>
  <conditionalFormatting sqref="A27:A124 B26:B127 W126:W130 AC26:AC126 AD27:AG124 Q33:R125 S125 U26:W125 AF26 Y26:Y124 X27:X124 Z27:AB124 T33:T124 F26:G26 C27:P124">
    <cfRule type="expression" dxfId="3907" priority="3857" stopIfTrue="1">
      <formula>$A26&lt;1</formula>
    </cfRule>
  </conditionalFormatting>
  <conditionalFormatting sqref="A26 AD26:AG26 X26:AB26 F27:F119 N27:P122 Q27:R121 AF27:AF121 Y27:Y124 C26:T26 S27:S124 G27:G45">
    <cfRule type="expression" dxfId="3906" priority="3856" stopIfTrue="1">
      <formula>$A26&lt;1</formula>
    </cfRule>
  </conditionalFormatting>
  <conditionalFormatting sqref="T27:T45">
    <cfRule type="expression" dxfId="3905" priority="3855" stopIfTrue="1">
      <formula>$A27&lt;1</formula>
    </cfRule>
  </conditionalFormatting>
  <conditionalFormatting sqref="N26:P122">
    <cfRule type="expression" dxfId="3904" priority="3854" stopIfTrue="1">
      <formula>$A26&lt;1</formula>
    </cfRule>
  </conditionalFormatting>
  <conditionalFormatting sqref="F29">
    <cfRule type="expression" dxfId="3903" priority="3853" stopIfTrue="1">
      <formula>$A29&lt;1</formula>
    </cfRule>
  </conditionalFormatting>
  <conditionalFormatting sqref="C26">
    <cfRule type="expression" dxfId="3902" priority="3852" stopIfTrue="1">
      <formula>$A26&lt;1</formula>
    </cfRule>
  </conditionalFormatting>
  <conditionalFormatting sqref="C26">
    <cfRule type="expression" dxfId="3901" priority="3851" stopIfTrue="1">
      <formula>$A26&lt;1</formula>
    </cfRule>
  </conditionalFormatting>
  <conditionalFormatting sqref="D26">
    <cfRule type="expression" dxfId="3900" priority="3850" stopIfTrue="1">
      <formula>$A26&lt;1</formula>
    </cfRule>
  </conditionalFormatting>
  <conditionalFormatting sqref="D26">
    <cfRule type="expression" dxfId="3899" priority="3849" stopIfTrue="1">
      <formula>$A26&lt;1</formula>
    </cfRule>
  </conditionalFormatting>
  <conditionalFormatting sqref="E26">
    <cfRule type="expression" dxfId="3898" priority="3848" stopIfTrue="1">
      <formula>$A26&lt;1</formula>
    </cfRule>
  </conditionalFormatting>
  <conditionalFormatting sqref="E26">
    <cfRule type="expression" dxfId="3897" priority="3847" stopIfTrue="1">
      <formula>$A26&lt;1</formula>
    </cfRule>
  </conditionalFormatting>
  <conditionalFormatting sqref="E27">
    <cfRule type="expression" dxfId="3896" priority="3846" stopIfTrue="1">
      <formula>$A27&lt;1</formula>
    </cfRule>
  </conditionalFormatting>
  <conditionalFormatting sqref="E27">
    <cfRule type="expression" dxfId="3895" priority="3845" stopIfTrue="1">
      <formula>$A27&lt;1</formula>
    </cfRule>
  </conditionalFormatting>
  <conditionalFormatting sqref="E27">
    <cfRule type="expression" dxfId="3894" priority="3844" stopIfTrue="1">
      <formula>$A27&lt;1</formula>
    </cfRule>
  </conditionalFormatting>
  <conditionalFormatting sqref="E27">
    <cfRule type="expression" dxfId="3893" priority="3843" stopIfTrue="1">
      <formula>$A27&lt;1</formula>
    </cfRule>
  </conditionalFormatting>
  <conditionalFormatting sqref="E28:E122">
    <cfRule type="expression" dxfId="3892" priority="3842" stopIfTrue="1">
      <formula>$A28&lt;1</formula>
    </cfRule>
  </conditionalFormatting>
  <conditionalFormatting sqref="E28:E122">
    <cfRule type="expression" dxfId="3891" priority="3841" stopIfTrue="1">
      <formula>$A28&lt;1</formula>
    </cfRule>
  </conditionalFormatting>
  <conditionalFormatting sqref="E28:E122">
    <cfRule type="expression" dxfId="3890" priority="3840" stopIfTrue="1">
      <formula>$A28&lt;1</formula>
    </cfRule>
  </conditionalFormatting>
  <conditionalFormatting sqref="E28:E122">
    <cfRule type="expression" dxfId="3889" priority="3839" stopIfTrue="1">
      <formula>$A28&lt;1</formula>
    </cfRule>
  </conditionalFormatting>
  <conditionalFormatting sqref="A27:A124 B26:B127 W126:W130 AC26:AC126 AD27:AG124 Q33:R125 S125 U26:W125 AF26 Y26:Y124 X27:X124 Z27:AB124 T33:T124 F26:G26 C27:P124">
    <cfRule type="expression" dxfId="3888" priority="3838" stopIfTrue="1">
      <formula>$A26&lt;1</formula>
    </cfRule>
  </conditionalFormatting>
  <conditionalFormatting sqref="A26 AD26:AG26 X26:AB26 F27:F119 N27:P122 Q27:R121 AF27:AF121 Y27:Y124 C26:T26 S27:S124 G27:G45">
    <cfRule type="expression" dxfId="3887" priority="3837" stopIfTrue="1">
      <formula>$A26&lt;1</formula>
    </cfRule>
  </conditionalFormatting>
  <conditionalFormatting sqref="T27:T45">
    <cfRule type="expression" dxfId="3886" priority="3836" stopIfTrue="1">
      <formula>$A27&lt;1</formula>
    </cfRule>
  </conditionalFormatting>
  <conditionalFormatting sqref="N26:P122">
    <cfRule type="expression" dxfId="3885" priority="3835" stopIfTrue="1">
      <formula>$A26&lt;1</formula>
    </cfRule>
  </conditionalFormatting>
  <conditionalFormatting sqref="F29">
    <cfRule type="expression" dxfId="3884" priority="3834" stopIfTrue="1">
      <formula>$A29&lt;1</formula>
    </cfRule>
  </conditionalFormatting>
  <conditionalFormatting sqref="A27:A124 B26:B127 W126:W130 AC26:AC126 AD27:AG124 Q33:R125 S125 U26:W125 AF26 Y26:Y124 X27:X124 Z27:AB124 T33:T124 F26:G26 C27:P124">
    <cfRule type="expression" dxfId="3883" priority="3833" stopIfTrue="1">
      <formula>$A26&lt;1</formula>
    </cfRule>
  </conditionalFormatting>
  <conditionalFormatting sqref="A26 AD26:AG26 X26:AB26 F27:F119 N27:P122 Q27:R121 AF27:AF121 Y27:Y124 C26:T26 S27:S124 G27:G45">
    <cfRule type="expression" dxfId="3882" priority="3832" stopIfTrue="1">
      <formula>$A26&lt;1</formula>
    </cfRule>
  </conditionalFormatting>
  <conditionalFormatting sqref="T27:T45">
    <cfRule type="expression" dxfId="3881" priority="3831" stopIfTrue="1">
      <formula>$A27&lt;1</formula>
    </cfRule>
  </conditionalFormatting>
  <conditionalFormatting sqref="N26:P122">
    <cfRule type="expression" dxfId="3880" priority="3830" stopIfTrue="1">
      <formula>$A26&lt;1</formula>
    </cfRule>
  </conditionalFormatting>
  <conditionalFormatting sqref="F29">
    <cfRule type="expression" dxfId="3879" priority="3829" stopIfTrue="1">
      <formula>$A29&lt;1</formula>
    </cfRule>
  </conditionalFormatting>
  <conditionalFormatting sqref="C26">
    <cfRule type="expression" dxfId="3878" priority="3828" stopIfTrue="1">
      <formula>$A26&lt;1</formula>
    </cfRule>
  </conditionalFormatting>
  <conditionalFormatting sqref="C26">
    <cfRule type="expression" dxfId="3877" priority="3827" stopIfTrue="1">
      <formula>$A26&lt;1</formula>
    </cfRule>
  </conditionalFormatting>
  <conditionalFormatting sqref="D26">
    <cfRule type="expression" dxfId="3876" priority="3826" stopIfTrue="1">
      <formula>$A26&lt;1</formula>
    </cfRule>
  </conditionalFormatting>
  <conditionalFormatting sqref="D26">
    <cfRule type="expression" dxfId="3875" priority="3825" stopIfTrue="1">
      <formula>$A26&lt;1</formula>
    </cfRule>
  </conditionalFormatting>
  <conditionalFormatting sqref="E26">
    <cfRule type="expression" dxfId="3874" priority="3824" stopIfTrue="1">
      <formula>$A26&lt;1</formula>
    </cfRule>
  </conditionalFormatting>
  <conditionalFormatting sqref="E26">
    <cfRule type="expression" dxfId="3873" priority="3823" stopIfTrue="1">
      <formula>$A26&lt;1</formula>
    </cfRule>
  </conditionalFormatting>
  <conditionalFormatting sqref="E27">
    <cfRule type="expression" dxfId="3872" priority="3822" stopIfTrue="1">
      <formula>$A27&lt;1</formula>
    </cfRule>
  </conditionalFormatting>
  <conditionalFormatting sqref="E27">
    <cfRule type="expression" dxfId="3871" priority="3821" stopIfTrue="1">
      <formula>$A27&lt;1</formula>
    </cfRule>
  </conditionalFormatting>
  <conditionalFormatting sqref="E27">
    <cfRule type="expression" dxfId="3870" priority="3820" stopIfTrue="1">
      <formula>$A27&lt;1</formula>
    </cfRule>
  </conditionalFormatting>
  <conditionalFormatting sqref="E27">
    <cfRule type="expression" dxfId="3869" priority="3819" stopIfTrue="1">
      <formula>$A27&lt;1</formula>
    </cfRule>
  </conditionalFormatting>
  <conditionalFormatting sqref="E28:E122">
    <cfRule type="expression" dxfId="3868" priority="3818" stopIfTrue="1">
      <formula>$A28&lt;1</formula>
    </cfRule>
  </conditionalFormatting>
  <conditionalFormatting sqref="E28:E122">
    <cfRule type="expression" dxfId="3867" priority="3817" stopIfTrue="1">
      <formula>$A28&lt;1</formula>
    </cfRule>
  </conditionalFormatting>
  <conditionalFormatting sqref="E28:E122">
    <cfRule type="expression" dxfId="3866" priority="3816" stopIfTrue="1">
      <formula>$A28&lt;1</formula>
    </cfRule>
  </conditionalFormatting>
  <conditionalFormatting sqref="E28:E122">
    <cfRule type="expression" dxfId="3865" priority="3815" stopIfTrue="1">
      <formula>$A28&lt;1</formula>
    </cfRule>
  </conditionalFormatting>
  <conditionalFormatting sqref="A27:A124 B26:B127 W126:W130 AC26:AC126 AD27:AG124 Q33:R125 S125 U26:W125 AF26 Y26:Y124 X27:X124 Z27:AB124 T33:T124 F26:G26 C27:P124">
    <cfRule type="expression" dxfId="3864" priority="3814" stopIfTrue="1">
      <formula>$A26&lt;1</formula>
    </cfRule>
  </conditionalFormatting>
  <conditionalFormatting sqref="A26 AD26:AG26 X26:AB26 F27:F119 N27:P122 Q27:R121 AF27:AF121 Y27:Y124 C26:T26 S27:S124 G27:G45">
    <cfRule type="expression" dxfId="3863" priority="3813" stopIfTrue="1">
      <formula>$A26&lt;1</formula>
    </cfRule>
  </conditionalFormatting>
  <conditionalFormatting sqref="T27:T45">
    <cfRule type="expression" dxfId="3862" priority="3812" stopIfTrue="1">
      <formula>$A27&lt;1</formula>
    </cfRule>
  </conditionalFormatting>
  <conditionalFormatting sqref="N26:P122">
    <cfRule type="expression" dxfId="3861" priority="3811" stopIfTrue="1">
      <formula>$A26&lt;1</formula>
    </cfRule>
  </conditionalFormatting>
  <conditionalFormatting sqref="F29">
    <cfRule type="expression" dxfId="3860" priority="3810" stopIfTrue="1">
      <formula>$A29&lt;1</formula>
    </cfRule>
  </conditionalFormatting>
  <conditionalFormatting sqref="A27:A124 B26:B127 W126:W130 AC26:AC126 AD27:AG124 Q33:R125 S125 U26:W125 AF26 Y26:Y124 X27:X124 Z27:AB124 T33:T124 F26:G26 C27:P124">
    <cfRule type="expression" dxfId="3859" priority="3809" stopIfTrue="1">
      <formula>$A26&lt;1</formula>
    </cfRule>
  </conditionalFormatting>
  <conditionalFormatting sqref="A26 AD26:AG26 X26:AB26 F27:F119 N27:P122 Q27:R121 AF27:AF121 Y27:Y124 C26:T26 S27:S124 G27:G45">
    <cfRule type="expression" dxfId="3858" priority="3808" stopIfTrue="1">
      <formula>$A26&lt;1</formula>
    </cfRule>
  </conditionalFormatting>
  <conditionalFormatting sqref="T27:T45">
    <cfRule type="expression" dxfId="3857" priority="3807" stopIfTrue="1">
      <formula>$A27&lt;1</formula>
    </cfRule>
  </conditionalFormatting>
  <conditionalFormatting sqref="N26:P122">
    <cfRule type="expression" dxfId="3856" priority="3806" stopIfTrue="1">
      <formula>$A26&lt;1</formula>
    </cfRule>
  </conditionalFormatting>
  <conditionalFormatting sqref="F29">
    <cfRule type="expression" dxfId="3855" priority="3805" stopIfTrue="1">
      <formula>$A29&lt;1</formula>
    </cfRule>
  </conditionalFormatting>
  <conditionalFormatting sqref="C26">
    <cfRule type="expression" dxfId="3854" priority="3804" stopIfTrue="1">
      <formula>$A26&lt;1</formula>
    </cfRule>
  </conditionalFormatting>
  <conditionalFormatting sqref="C26">
    <cfRule type="expression" dxfId="3853" priority="3803" stopIfTrue="1">
      <formula>$A26&lt;1</formula>
    </cfRule>
  </conditionalFormatting>
  <conditionalFormatting sqref="D26">
    <cfRule type="expression" dxfId="3852" priority="3802" stopIfTrue="1">
      <formula>$A26&lt;1</formula>
    </cfRule>
  </conditionalFormatting>
  <conditionalFormatting sqref="D26">
    <cfRule type="expression" dxfId="3851" priority="3801" stopIfTrue="1">
      <formula>$A26&lt;1</formula>
    </cfRule>
  </conditionalFormatting>
  <conditionalFormatting sqref="E26">
    <cfRule type="expression" dxfId="3850" priority="3800" stopIfTrue="1">
      <formula>$A26&lt;1</formula>
    </cfRule>
  </conditionalFormatting>
  <conditionalFormatting sqref="E26">
    <cfRule type="expression" dxfId="3849" priority="3799" stopIfTrue="1">
      <formula>$A26&lt;1</formula>
    </cfRule>
  </conditionalFormatting>
  <conditionalFormatting sqref="E27">
    <cfRule type="expression" dxfId="3848" priority="3798" stopIfTrue="1">
      <formula>$A27&lt;1</formula>
    </cfRule>
  </conditionalFormatting>
  <conditionalFormatting sqref="E27">
    <cfRule type="expression" dxfId="3847" priority="3797" stopIfTrue="1">
      <formula>$A27&lt;1</formula>
    </cfRule>
  </conditionalFormatting>
  <conditionalFormatting sqref="E27">
    <cfRule type="expression" dxfId="3846" priority="3796" stopIfTrue="1">
      <formula>$A27&lt;1</formula>
    </cfRule>
  </conditionalFormatting>
  <conditionalFormatting sqref="E27">
    <cfRule type="expression" dxfId="3845" priority="3795" stopIfTrue="1">
      <formula>$A27&lt;1</formula>
    </cfRule>
  </conditionalFormatting>
  <conditionalFormatting sqref="E28:E122">
    <cfRule type="expression" dxfId="3844" priority="3794" stopIfTrue="1">
      <formula>$A28&lt;1</formula>
    </cfRule>
  </conditionalFormatting>
  <conditionalFormatting sqref="E28:E122">
    <cfRule type="expression" dxfId="3843" priority="3793" stopIfTrue="1">
      <formula>$A28&lt;1</formula>
    </cfRule>
  </conditionalFormatting>
  <conditionalFormatting sqref="E28:E122">
    <cfRule type="expression" dxfId="3842" priority="3792" stopIfTrue="1">
      <formula>$A28&lt;1</formula>
    </cfRule>
  </conditionalFormatting>
  <conditionalFormatting sqref="E28:E122">
    <cfRule type="expression" dxfId="3841" priority="3791" stopIfTrue="1">
      <formula>$A28&lt;1</formula>
    </cfRule>
  </conditionalFormatting>
  <conditionalFormatting sqref="T33:T37">
    <cfRule type="expression" dxfId="3840" priority="3790" stopIfTrue="1">
      <formula>$A33&lt;1</formula>
    </cfRule>
  </conditionalFormatting>
  <conditionalFormatting sqref="T27:T45">
    <cfRule type="expression" dxfId="3839" priority="3789" stopIfTrue="1">
      <formula>$A27&lt;1</formula>
    </cfRule>
  </conditionalFormatting>
  <conditionalFormatting sqref="T33:T37">
    <cfRule type="expression" dxfId="3838" priority="3788" stopIfTrue="1">
      <formula>$A33&lt;1</formula>
    </cfRule>
  </conditionalFormatting>
  <conditionalFormatting sqref="T27:T45">
    <cfRule type="expression" dxfId="3837" priority="3787" stopIfTrue="1">
      <formula>$A27&lt;1</formula>
    </cfRule>
  </conditionalFormatting>
  <conditionalFormatting sqref="T33:T37">
    <cfRule type="expression" dxfId="3836" priority="3786" stopIfTrue="1">
      <formula>$A33&lt;1</formula>
    </cfRule>
  </conditionalFormatting>
  <conditionalFormatting sqref="T27:T45">
    <cfRule type="expression" dxfId="3835" priority="3785" stopIfTrue="1">
      <formula>$A27&lt;1</formula>
    </cfRule>
  </conditionalFormatting>
  <conditionalFormatting sqref="T33:T37">
    <cfRule type="expression" dxfId="3834" priority="3784" stopIfTrue="1">
      <formula>$A33&lt;1</formula>
    </cfRule>
  </conditionalFormatting>
  <conditionalFormatting sqref="T27:T45">
    <cfRule type="expression" dxfId="3833" priority="3783" stopIfTrue="1">
      <formula>$A27&lt;1</formula>
    </cfRule>
  </conditionalFormatting>
  <conditionalFormatting sqref="T33:T37">
    <cfRule type="expression" dxfId="3832" priority="3782" stopIfTrue="1">
      <formula>$A33&lt;1</formula>
    </cfRule>
  </conditionalFormatting>
  <conditionalFormatting sqref="T27:T45">
    <cfRule type="expression" dxfId="3831" priority="3781" stopIfTrue="1">
      <formula>$A27&lt;1</formula>
    </cfRule>
  </conditionalFormatting>
  <conditionalFormatting sqref="T33:T37">
    <cfRule type="expression" dxfId="3830" priority="3780" stopIfTrue="1">
      <formula>$A33&lt;1</formula>
    </cfRule>
  </conditionalFormatting>
  <conditionalFormatting sqref="T27:T45">
    <cfRule type="expression" dxfId="3829" priority="3779" stopIfTrue="1">
      <formula>$A27&lt;1</formula>
    </cfRule>
  </conditionalFormatting>
  <conditionalFormatting sqref="T33:T37">
    <cfRule type="expression" dxfId="3828" priority="3778" stopIfTrue="1">
      <formula>$A33&lt;1</formula>
    </cfRule>
  </conditionalFormatting>
  <conditionalFormatting sqref="T27:T45">
    <cfRule type="expression" dxfId="3827" priority="3777" stopIfTrue="1">
      <formula>$A27&lt;1</formula>
    </cfRule>
  </conditionalFormatting>
  <conditionalFormatting sqref="T33:T37">
    <cfRule type="expression" dxfId="3826" priority="3776" stopIfTrue="1">
      <formula>$A33&lt;1</formula>
    </cfRule>
  </conditionalFormatting>
  <conditionalFormatting sqref="T27:T45">
    <cfRule type="expression" dxfId="3825" priority="3775" stopIfTrue="1">
      <formula>$A27&lt;1</formula>
    </cfRule>
  </conditionalFormatting>
  <conditionalFormatting sqref="T33:T37">
    <cfRule type="expression" dxfId="3824" priority="3774" stopIfTrue="1">
      <formula>$A33&lt;1</formula>
    </cfRule>
  </conditionalFormatting>
  <conditionalFormatting sqref="T27:T45">
    <cfRule type="expression" dxfId="3823" priority="3773" stopIfTrue="1">
      <formula>$A27&lt;1</formula>
    </cfRule>
  </conditionalFormatting>
  <conditionalFormatting sqref="T33:T37">
    <cfRule type="expression" dxfId="3822" priority="3772" stopIfTrue="1">
      <formula>$A33&lt;1</formula>
    </cfRule>
  </conditionalFormatting>
  <conditionalFormatting sqref="T27:T45">
    <cfRule type="expression" dxfId="3821" priority="3771" stopIfTrue="1">
      <formula>$A27&lt;1</formula>
    </cfRule>
  </conditionalFormatting>
  <conditionalFormatting sqref="T33:T37">
    <cfRule type="expression" dxfId="3820" priority="3770" stopIfTrue="1">
      <formula>$A33&lt;1</formula>
    </cfRule>
  </conditionalFormatting>
  <conditionalFormatting sqref="T27:T45">
    <cfRule type="expression" dxfId="3819" priority="3769" stopIfTrue="1">
      <formula>$A27&lt;1</formula>
    </cfRule>
  </conditionalFormatting>
  <conditionalFormatting sqref="T33:T37">
    <cfRule type="expression" dxfId="3818" priority="3768" stopIfTrue="1">
      <formula>$A33&lt;1</formula>
    </cfRule>
  </conditionalFormatting>
  <conditionalFormatting sqref="T27:T45">
    <cfRule type="expression" dxfId="3817" priority="3767" stopIfTrue="1">
      <formula>$A27&lt;1</formula>
    </cfRule>
  </conditionalFormatting>
  <conditionalFormatting sqref="T33:T37">
    <cfRule type="expression" dxfId="3816" priority="3766" stopIfTrue="1">
      <formula>$A33&lt;1</formula>
    </cfRule>
  </conditionalFormatting>
  <conditionalFormatting sqref="T27:T45">
    <cfRule type="expression" dxfId="3815" priority="3765" stopIfTrue="1">
      <formula>$A27&lt;1</formula>
    </cfRule>
  </conditionalFormatting>
  <conditionalFormatting sqref="T33:T37">
    <cfRule type="expression" dxfId="3814" priority="3764" stopIfTrue="1">
      <formula>$A33&lt;1</formula>
    </cfRule>
  </conditionalFormatting>
  <conditionalFormatting sqref="T27:T45">
    <cfRule type="expression" dxfId="3813" priority="3763" stopIfTrue="1">
      <formula>$A27&lt;1</formula>
    </cfRule>
  </conditionalFormatting>
  <conditionalFormatting sqref="T33:T37">
    <cfRule type="expression" dxfId="3812" priority="3762" stopIfTrue="1">
      <formula>$A33&lt;1</formula>
    </cfRule>
  </conditionalFormatting>
  <conditionalFormatting sqref="T27:T45">
    <cfRule type="expression" dxfId="3811" priority="3761" stopIfTrue="1">
      <formula>$A27&lt;1</formula>
    </cfRule>
  </conditionalFormatting>
  <conditionalFormatting sqref="T33:T37">
    <cfRule type="expression" dxfId="3810" priority="3760" stopIfTrue="1">
      <formula>$A33&lt;1</formula>
    </cfRule>
  </conditionalFormatting>
  <conditionalFormatting sqref="T27:T45">
    <cfRule type="expression" dxfId="3809" priority="3759" stopIfTrue="1">
      <formula>$A27&lt;1</formula>
    </cfRule>
  </conditionalFormatting>
  <conditionalFormatting sqref="T33:T37">
    <cfRule type="expression" dxfId="3808" priority="3758" stopIfTrue="1">
      <formula>$A33&lt;1</formula>
    </cfRule>
  </conditionalFormatting>
  <conditionalFormatting sqref="T27:T45">
    <cfRule type="expression" dxfId="3807" priority="3757" stopIfTrue="1">
      <formula>$A27&lt;1</formula>
    </cfRule>
  </conditionalFormatting>
  <conditionalFormatting sqref="T33:T37">
    <cfRule type="expression" dxfId="3806" priority="3756" stopIfTrue="1">
      <formula>$A33&lt;1</formula>
    </cfRule>
  </conditionalFormatting>
  <conditionalFormatting sqref="T27:T45">
    <cfRule type="expression" dxfId="3805" priority="3755" stopIfTrue="1">
      <formula>$A27&lt;1</formula>
    </cfRule>
  </conditionalFormatting>
  <conditionalFormatting sqref="T33:T37">
    <cfRule type="expression" dxfId="3804" priority="3754" stopIfTrue="1">
      <formula>$A33&lt;1</formula>
    </cfRule>
  </conditionalFormatting>
  <conditionalFormatting sqref="T27:T45">
    <cfRule type="expression" dxfId="3803" priority="3753" stopIfTrue="1">
      <formula>$A27&lt;1</formula>
    </cfRule>
  </conditionalFormatting>
  <conditionalFormatting sqref="T33:T37">
    <cfRule type="expression" dxfId="3802" priority="3752" stopIfTrue="1">
      <formula>$A33&lt;1</formula>
    </cfRule>
  </conditionalFormatting>
  <conditionalFormatting sqref="T27:T45">
    <cfRule type="expression" dxfId="3801" priority="3751" stopIfTrue="1">
      <formula>$A27&lt;1</formula>
    </cfRule>
  </conditionalFormatting>
  <conditionalFormatting sqref="T33:T37">
    <cfRule type="expression" dxfId="3800" priority="3750" stopIfTrue="1">
      <formula>$A33&lt;1</formula>
    </cfRule>
  </conditionalFormatting>
  <conditionalFormatting sqref="T27:T45">
    <cfRule type="expression" dxfId="3799" priority="3749" stopIfTrue="1">
      <formula>$A27&lt;1</formula>
    </cfRule>
  </conditionalFormatting>
  <conditionalFormatting sqref="T33:T37">
    <cfRule type="expression" dxfId="3798" priority="3748" stopIfTrue="1">
      <formula>$A33&lt;1</formula>
    </cfRule>
  </conditionalFormatting>
  <conditionalFormatting sqref="T27:T45">
    <cfRule type="expression" dxfId="3797" priority="3747" stopIfTrue="1">
      <formula>$A27&lt;1</formula>
    </cfRule>
  </conditionalFormatting>
  <conditionalFormatting sqref="T33:T37">
    <cfRule type="expression" dxfId="3796" priority="3746" stopIfTrue="1">
      <formula>$A33&lt;1</formula>
    </cfRule>
  </conditionalFormatting>
  <conditionalFormatting sqref="T27:T45">
    <cfRule type="expression" dxfId="3795" priority="3745" stopIfTrue="1">
      <formula>$A27&lt;1</formula>
    </cfRule>
  </conditionalFormatting>
  <conditionalFormatting sqref="T33:T37">
    <cfRule type="expression" dxfId="3794" priority="3744" stopIfTrue="1">
      <formula>$A33&lt;1</formula>
    </cfRule>
  </conditionalFormatting>
  <conditionalFormatting sqref="T27:T45">
    <cfRule type="expression" dxfId="3793" priority="3743" stopIfTrue="1">
      <formula>$A27&lt;1</formula>
    </cfRule>
  </conditionalFormatting>
  <conditionalFormatting sqref="T33:T37">
    <cfRule type="expression" dxfId="3792" priority="3742" stopIfTrue="1">
      <formula>$A33&lt;1</formula>
    </cfRule>
  </conditionalFormatting>
  <conditionalFormatting sqref="T27:T45">
    <cfRule type="expression" dxfId="3791" priority="3741" stopIfTrue="1">
      <formula>$A27&lt;1</formula>
    </cfRule>
  </conditionalFormatting>
  <conditionalFormatting sqref="T33:T37">
    <cfRule type="expression" dxfId="3790" priority="3740" stopIfTrue="1">
      <formula>$A33&lt;1</formula>
    </cfRule>
  </conditionalFormatting>
  <conditionalFormatting sqref="T27:T45">
    <cfRule type="expression" dxfId="3789" priority="3739" stopIfTrue="1">
      <formula>$A27&lt;1</formula>
    </cfRule>
  </conditionalFormatting>
  <conditionalFormatting sqref="T33:T37">
    <cfRule type="expression" dxfId="3788" priority="3738" stopIfTrue="1">
      <formula>$A33&lt;1</formula>
    </cfRule>
  </conditionalFormatting>
  <conditionalFormatting sqref="T27:T45">
    <cfRule type="expression" dxfId="3787" priority="3737" stopIfTrue="1">
      <formula>$A27&lt;1</formula>
    </cfRule>
  </conditionalFormatting>
  <conditionalFormatting sqref="T33:T37">
    <cfRule type="expression" dxfId="3786" priority="3736" stopIfTrue="1">
      <formula>$A33&lt;1</formula>
    </cfRule>
  </conditionalFormatting>
  <conditionalFormatting sqref="T27:T45">
    <cfRule type="expression" dxfId="3785" priority="3735" stopIfTrue="1">
      <formula>$A27&lt;1</formula>
    </cfRule>
  </conditionalFormatting>
  <conditionalFormatting sqref="T33:T37">
    <cfRule type="expression" dxfId="3784" priority="3734" stopIfTrue="1">
      <formula>$A33&lt;1</formula>
    </cfRule>
  </conditionalFormatting>
  <conditionalFormatting sqref="T27:T45">
    <cfRule type="expression" dxfId="3783" priority="3733" stopIfTrue="1">
      <formula>$A27&lt;1</formula>
    </cfRule>
  </conditionalFormatting>
  <conditionalFormatting sqref="T33:T37">
    <cfRule type="expression" dxfId="3782" priority="3732" stopIfTrue="1">
      <formula>$A33&lt;1</formula>
    </cfRule>
  </conditionalFormatting>
  <conditionalFormatting sqref="T27:T45">
    <cfRule type="expression" dxfId="3781" priority="3731" stopIfTrue="1">
      <formula>$A27&lt;1</formula>
    </cfRule>
  </conditionalFormatting>
  <conditionalFormatting sqref="T33:T37">
    <cfRule type="expression" dxfId="3780" priority="3730" stopIfTrue="1">
      <formula>$A33&lt;1</formula>
    </cfRule>
  </conditionalFormatting>
  <conditionalFormatting sqref="T27:T45">
    <cfRule type="expression" dxfId="3779" priority="3729" stopIfTrue="1">
      <formula>$A27&lt;1</formula>
    </cfRule>
  </conditionalFormatting>
  <conditionalFormatting sqref="T33:T37">
    <cfRule type="expression" dxfId="3778" priority="3728" stopIfTrue="1">
      <formula>$A33&lt;1</formula>
    </cfRule>
  </conditionalFormatting>
  <conditionalFormatting sqref="T27:T45">
    <cfRule type="expression" dxfId="3777" priority="3727" stopIfTrue="1">
      <formula>$A27&lt;1</formula>
    </cfRule>
  </conditionalFormatting>
  <conditionalFormatting sqref="T33:T37">
    <cfRule type="expression" dxfId="3776" priority="3726" stopIfTrue="1">
      <formula>$A33&lt;1</formula>
    </cfRule>
  </conditionalFormatting>
  <conditionalFormatting sqref="T27:T45">
    <cfRule type="expression" dxfId="3775" priority="3725" stopIfTrue="1">
      <formula>$A27&lt;1</formula>
    </cfRule>
  </conditionalFormatting>
  <conditionalFormatting sqref="T33:T37">
    <cfRule type="expression" dxfId="3774" priority="3724" stopIfTrue="1">
      <formula>$A33&lt;1</formula>
    </cfRule>
  </conditionalFormatting>
  <conditionalFormatting sqref="T27:T45">
    <cfRule type="expression" dxfId="3773" priority="3723" stopIfTrue="1">
      <formula>$A27&lt;1</formula>
    </cfRule>
  </conditionalFormatting>
  <conditionalFormatting sqref="T33:T37">
    <cfRule type="expression" dxfId="3772" priority="3722" stopIfTrue="1">
      <formula>$A33&lt;1</formula>
    </cfRule>
  </conditionalFormatting>
  <conditionalFormatting sqref="T27:T45">
    <cfRule type="expression" dxfId="3771" priority="3721" stopIfTrue="1">
      <formula>$A27&lt;1</formula>
    </cfRule>
  </conditionalFormatting>
  <conditionalFormatting sqref="T33:T37">
    <cfRule type="expression" dxfId="3770" priority="3720" stopIfTrue="1">
      <formula>$A33&lt;1</formula>
    </cfRule>
  </conditionalFormatting>
  <conditionalFormatting sqref="T27:T45">
    <cfRule type="expression" dxfId="3769" priority="3719" stopIfTrue="1">
      <formula>$A27&lt;1</formula>
    </cfRule>
  </conditionalFormatting>
  <conditionalFormatting sqref="T33:T37">
    <cfRule type="expression" dxfId="3768" priority="3718" stopIfTrue="1">
      <formula>$A33&lt;1</formula>
    </cfRule>
  </conditionalFormatting>
  <conditionalFormatting sqref="T27:T45">
    <cfRule type="expression" dxfId="3767" priority="3717" stopIfTrue="1">
      <formula>$A27&lt;1</formula>
    </cfRule>
  </conditionalFormatting>
  <conditionalFormatting sqref="T33:T37">
    <cfRule type="expression" dxfId="3766" priority="3716" stopIfTrue="1">
      <formula>$A33&lt;1</formula>
    </cfRule>
  </conditionalFormatting>
  <conditionalFormatting sqref="T27:T45">
    <cfRule type="expression" dxfId="3765" priority="3715" stopIfTrue="1">
      <formula>$A27&lt;1</formula>
    </cfRule>
  </conditionalFormatting>
  <conditionalFormatting sqref="T33:T37">
    <cfRule type="expression" dxfId="3764" priority="3714" stopIfTrue="1">
      <formula>$A33&lt;1</formula>
    </cfRule>
  </conditionalFormatting>
  <conditionalFormatting sqref="T27:T45">
    <cfRule type="expression" dxfId="3763" priority="3713" stopIfTrue="1">
      <formula>$A27&lt;1</formula>
    </cfRule>
  </conditionalFormatting>
  <conditionalFormatting sqref="T33:T37">
    <cfRule type="expression" dxfId="3762" priority="3712" stopIfTrue="1">
      <formula>$A33&lt;1</formula>
    </cfRule>
  </conditionalFormatting>
  <conditionalFormatting sqref="T27:T45">
    <cfRule type="expression" dxfId="3761" priority="3711" stopIfTrue="1">
      <formula>$A27&lt;1</formula>
    </cfRule>
  </conditionalFormatting>
  <conditionalFormatting sqref="T33:T37">
    <cfRule type="expression" dxfId="3760" priority="3710" stopIfTrue="1">
      <formula>$A33&lt;1</formula>
    </cfRule>
  </conditionalFormatting>
  <conditionalFormatting sqref="T27:T45">
    <cfRule type="expression" dxfId="3759" priority="3709" stopIfTrue="1">
      <formula>$A27&lt;1</formula>
    </cfRule>
  </conditionalFormatting>
  <conditionalFormatting sqref="T33:T37">
    <cfRule type="expression" dxfId="3758" priority="3708" stopIfTrue="1">
      <formula>$A33&lt;1</formula>
    </cfRule>
  </conditionalFormatting>
  <conditionalFormatting sqref="T27:T45">
    <cfRule type="expression" dxfId="3757" priority="3707" stopIfTrue="1">
      <formula>$A27&lt;1</formula>
    </cfRule>
  </conditionalFormatting>
  <conditionalFormatting sqref="T33:T37">
    <cfRule type="expression" dxfId="3756" priority="3706" stopIfTrue="1">
      <formula>$A33&lt;1</formula>
    </cfRule>
  </conditionalFormatting>
  <conditionalFormatting sqref="T27:T45">
    <cfRule type="expression" dxfId="3755" priority="3705" stopIfTrue="1">
      <formula>$A27&lt;1</formula>
    </cfRule>
  </conditionalFormatting>
  <conditionalFormatting sqref="T33:T37">
    <cfRule type="expression" dxfId="3754" priority="3704" stopIfTrue="1">
      <formula>$A33&lt;1</formula>
    </cfRule>
  </conditionalFormatting>
  <conditionalFormatting sqref="T27:T45">
    <cfRule type="expression" dxfId="3753" priority="3703" stopIfTrue="1">
      <formula>$A27&lt;1</formula>
    </cfRule>
  </conditionalFormatting>
  <conditionalFormatting sqref="T33:T37">
    <cfRule type="expression" dxfId="3752" priority="3702" stopIfTrue="1">
      <formula>$A33&lt;1</formula>
    </cfRule>
  </conditionalFormatting>
  <conditionalFormatting sqref="T27:T45">
    <cfRule type="expression" dxfId="3751" priority="3701" stopIfTrue="1">
      <formula>$A27&lt;1</formula>
    </cfRule>
  </conditionalFormatting>
  <conditionalFormatting sqref="T33:T37">
    <cfRule type="expression" dxfId="3750" priority="3700" stopIfTrue="1">
      <formula>$A33&lt;1</formula>
    </cfRule>
  </conditionalFormatting>
  <conditionalFormatting sqref="T27:T45">
    <cfRule type="expression" dxfId="3749" priority="3699" stopIfTrue="1">
      <formula>$A27&lt;1</formula>
    </cfRule>
  </conditionalFormatting>
  <conditionalFormatting sqref="T33:T37">
    <cfRule type="expression" dxfId="3748" priority="3698" stopIfTrue="1">
      <formula>$A33&lt;1</formula>
    </cfRule>
  </conditionalFormatting>
  <conditionalFormatting sqref="T27:T45">
    <cfRule type="expression" dxfId="3747" priority="3697" stopIfTrue="1">
      <formula>$A27&lt;1</formula>
    </cfRule>
  </conditionalFormatting>
  <conditionalFormatting sqref="T33:T37">
    <cfRule type="expression" dxfId="3746" priority="3696" stopIfTrue="1">
      <formula>$A33&lt;1</formula>
    </cfRule>
  </conditionalFormatting>
  <conditionalFormatting sqref="T27:T45">
    <cfRule type="expression" dxfId="3745" priority="3695" stopIfTrue="1">
      <formula>$A27&lt;1</formula>
    </cfRule>
  </conditionalFormatting>
  <conditionalFormatting sqref="T33:T37">
    <cfRule type="expression" dxfId="3744" priority="3694" stopIfTrue="1">
      <formula>$A33&lt;1</formula>
    </cfRule>
  </conditionalFormatting>
  <conditionalFormatting sqref="T27:T45">
    <cfRule type="expression" dxfId="3743" priority="3693" stopIfTrue="1">
      <formula>$A27&lt;1</formula>
    </cfRule>
  </conditionalFormatting>
  <conditionalFormatting sqref="T33:T37">
    <cfRule type="expression" dxfId="3742" priority="3692" stopIfTrue="1">
      <formula>$A33&lt;1</formula>
    </cfRule>
  </conditionalFormatting>
  <conditionalFormatting sqref="T27:T45">
    <cfRule type="expression" dxfId="3741" priority="3691" stopIfTrue="1">
      <formula>$A27&lt;1</formula>
    </cfRule>
  </conditionalFormatting>
  <conditionalFormatting sqref="T33:T37">
    <cfRule type="expression" dxfId="3740" priority="3690" stopIfTrue="1">
      <formula>$A33&lt;1</formula>
    </cfRule>
  </conditionalFormatting>
  <conditionalFormatting sqref="T27:T45">
    <cfRule type="expression" dxfId="3739" priority="3689" stopIfTrue="1">
      <formula>$A27&lt;1</formula>
    </cfRule>
  </conditionalFormatting>
  <conditionalFormatting sqref="T33:T37">
    <cfRule type="expression" dxfId="3738" priority="3688" stopIfTrue="1">
      <formula>$A33&lt;1</formula>
    </cfRule>
  </conditionalFormatting>
  <conditionalFormatting sqref="T27:T45">
    <cfRule type="expression" dxfId="3737" priority="3687" stopIfTrue="1">
      <formula>$A27&lt;1</formula>
    </cfRule>
  </conditionalFormatting>
  <conditionalFormatting sqref="T33:T37">
    <cfRule type="expression" dxfId="3736" priority="3686" stopIfTrue="1">
      <formula>$A33&lt;1</formula>
    </cfRule>
  </conditionalFormatting>
  <conditionalFormatting sqref="T27:T45">
    <cfRule type="expression" dxfId="3735" priority="3685" stopIfTrue="1">
      <formula>$A27&lt;1</formula>
    </cfRule>
  </conditionalFormatting>
  <conditionalFormatting sqref="T33:T37">
    <cfRule type="expression" dxfId="3734" priority="3684" stopIfTrue="1">
      <formula>$A33&lt;1</formula>
    </cfRule>
  </conditionalFormatting>
  <conditionalFormatting sqref="T27:T45">
    <cfRule type="expression" dxfId="3733" priority="3683" stopIfTrue="1">
      <formula>$A27&lt;1</formula>
    </cfRule>
  </conditionalFormatting>
  <conditionalFormatting sqref="T33:T37">
    <cfRule type="expression" dxfId="3732" priority="3682" stopIfTrue="1">
      <formula>$A33&lt;1</formula>
    </cfRule>
  </conditionalFormatting>
  <conditionalFormatting sqref="T27:T45">
    <cfRule type="expression" dxfId="3731" priority="3681" stopIfTrue="1">
      <formula>$A27&lt;1</formula>
    </cfRule>
  </conditionalFormatting>
  <conditionalFormatting sqref="T33:T37">
    <cfRule type="expression" dxfId="3730" priority="3680" stopIfTrue="1">
      <formula>$A33&lt;1</formula>
    </cfRule>
  </conditionalFormatting>
  <conditionalFormatting sqref="T27:T45">
    <cfRule type="expression" dxfId="3729" priority="3679" stopIfTrue="1">
      <formula>$A27&lt;1</formula>
    </cfRule>
  </conditionalFormatting>
  <conditionalFormatting sqref="T33:T37">
    <cfRule type="expression" dxfId="3728" priority="3678" stopIfTrue="1">
      <formula>$A33&lt;1</formula>
    </cfRule>
  </conditionalFormatting>
  <conditionalFormatting sqref="T27:T45">
    <cfRule type="expression" dxfId="3727" priority="3677" stopIfTrue="1">
      <formula>$A27&lt;1</formula>
    </cfRule>
  </conditionalFormatting>
  <conditionalFormatting sqref="T33:T37">
    <cfRule type="expression" dxfId="3726" priority="3676" stopIfTrue="1">
      <formula>$A33&lt;1</formula>
    </cfRule>
  </conditionalFormatting>
  <conditionalFormatting sqref="T27:T45">
    <cfRule type="expression" dxfId="3725" priority="3675" stopIfTrue="1">
      <formula>$A27&lt;1</formula>
    </cfRule>
  </conditionalFormatting>
  <conditionalFormatting sqref="T33:T37">
    <cfRule type="expression" dxfId="3724" priority="3674" stopIfTrue="1">
      <formula>$A33&lt;1</formula>
    </cfRule>
  </conditionalFormatting>
  <conditionalFormatting sqref="T27:T45">
    <cfRule type="expression" dxfId="3723" priority="3673" stopIfTrue="1">
      <formula>$A27&lt;1</formula>
    </cfRule>
  </conditionalFormatting>
  <conditionalFormatting sqref="T33:T37">
    <cfRule type="expression" dxfId="3722" priority="3672" stopIfTrue="1">
      <formula>$A33&lt;1</formula>
    </cfRule>
  </conditionalFormatting>
  <conditionalFormatting sqref="T27:T45">
    <cfRule type="expression" dxfId="3721" priority="3671" stopIfTrue="1">
      <formula>$A27&lt;1</formula>
    </cfRule>
  </conditionalFormatting>
  <conditionalFormatting sqref="T33:T37">
    <cfRule type="expression" dxfId="3720" priority="3670" stopIfTrue="1">
      <formula>$A33&lt;1</formula>
    </cfRule>
  </conditionalFormatting>
  <conditionalFormatting sqref="T27:T45">
    <cfRule type="expression" dxfId="3719" priority="3669" stopIfTrue="1">
      <formula>$A27&lt;1</formula>
    </cfRule>
  </conditionalFormatting>
  <conditionalFormatting sqref="T33:T37">
    <cfRule type="expression" dxfId="3718" priority="3668" stopIfTrue="1">
      <formula>$A33&lt;1</formula>
    </cfRule>
  </conditionalFormatting>
  <conditionalFormatting sqref="T27:T45">
    <cfRule type="expression" dxfId="3717" priority="3667" stopIfTrue="1">
      <formula>$A27&lt;1</formula>
    </cfRule>
  </conditionalFormatting>
  <conditionalFormatting sqref="T33:T37">
    <cfRule type="expression" dxfId="3716" priority="3666" stopIfTrue="1">
      <formula>$A33&lt;1</formula>
    </cfRule>
  </conditionalFormatting>
  <conditionalFormatting sqref="T27:T45">
    <cfRule type="expression" dxfId="3715" priority="3665" stopIfTrue="1">
      <formula>$A27&lt;1</formula>
    </cfRule>
  </conditionalFormatting>
  <conditionalFormatting sqref="T33:T37">
    <cfRule type="expression" dxfId="3714" priority="3664" stopIfTrue="1">
      <formula>$A33&lt;1</formula>
    </cfRule>
  </conditionalFormatting>
  <conditionalFormatting sqref="T27:T45">
    <cfRule type="expression" dxfId="3713" priority="3663" stopIfTrue="1">
      <formula>$A27&lt;1</formula>
    </cfRule>
  </conditionalFormatting>
  <conditionalFormatting sqref="T33:T37">
    <cfRule type="expression" dxfId="3712" priority="3662" stopIfTrue="1">
      <formula>$A33&lt;1</formula>
    </cfRule>
  </conditionalFormatting>
  <conditionalFormatting sqref="T27:T45">
    <cfRule type="expression" dxfId="3711" priority="3661" stopIfTrue="1">
      <formula>$A27&lt;1</formula>
    </cfRule>
  </conditionalFormatting>
  <conditionalFormatting sqref="T33:T37">
    <cfRule type="expression" dxfId="3710" priority="3660" stopIfTrue="1">
      <formula>$A33&lt;1</formula>
    </cfRule>
  </conditionalFormatting>
  <conditionalFormatting sqref="T27:T45">
    <cfRule type="expression" dxfId="3709" priority="3659" stopIfTrue="1">
      <formula>$A27&lt;1</formula>
    </cfRule>
  </conditionalFormatting>
  <conditionalFormatting sqref="T33:T37">
    <cfRule type="expression" dxfId="3708" priority="3658" stopIfTrue="1">
      <formula>$A33&lt;1</formula>
    </cfRule>
  </conditionalFormatting>
  <conditionalFormatting sqref="T27:T45">
    <cfRule type="expression" dxfId="3707" priority="3657" stopIfTrue="1">
      <formula>$A27&lt;1</formula>
    </cfRule>
  </conditionalFormatting>
  <conditionalFormatting sqref="T33:T37">
    <cfRule type="expression" dxfId="3706" priority="3656" stopIfTrue="1">
      <formula>$A33&lt;1</formula>
    </cfRule>
  </conditionalFormatting>
  <conditionalFormatting sqref="T27:T45">
    <cfRule type="expression" dxfId="3705" priority="3655" stopIfTrue="1">
      <formula>$A27&lt;1</formula>
    </cfRule>
  </conditionalFormatting>
  <conditionalFormatting sqref="T33:T37">
    <cfRule type="expression" dxfId="3704" priority="3654" stopIfTrue="1">
      <formula>$A33&lt;1</formula>
    </cfRule>
  </conditionalFormatting>
  <conditionalFormatting sqref="T27:T45">
    <cfRule type="expression" dxfId="3703" priority="3653" stopIfTrue="1">
      <formula>$A27&lt;1</formula>
    </cfRule>
  </conditionalFormatting>
  <conditionalFormatting sqref="T33:T37">
    <cfRule type="expression" dxfId="3702" priority="3652" stopIfTrue="1">
      <formula>$A33&lt;1</formula>
    </cfRule>
  </conditionalFormatting>
  <conditionalFormatting sqref="T27:T45">
    <cfRule type="expression" dxfId="3701" priority="3651" stopIfTrue="1">
      <formula>$A27&lt;1</formula>
    </cfRule>
  </conditionalFormatting>
  <conditionalFormatting sqref="T33:T37">
    <cfRule type="expression" dxfId="3700" priority="3650" stopIfTrue="1">
      <formula>$A33&lt;1</formula>
    </cfRule>
  </conditionalFormatting>
  <conditionalFormatting sqref="T27:T45">
    <cfRule type="expression" dxfId="3699" priority="3649" stopIfTrue="1">
      <formula>$A27&lt;1</formula>
    </cfRule>
  </conditionalFormatting>
  <conditionalFormatting sqref="T33:T37">
    <cfRule type="expression" dxfId="3698" priority="3648" stopIfTrue="1">
      <formula>$A33&lt;1</formula>
    </cfRule>
  </conditionalFormatting>
  <conditionalFormatting sqref="T27:T45">
    <cfRule type="expression" dxfId="3697" priority="3647" stopIfTrue="1">
      <formula>$A27&lt;1</formula>
    </cfRule>
  </conditionalFormatting>
  <conditionalFormatting sqref="T33:T37">
    <cfRule type="expression" dxfId="3696" priority="3646" stopIfTrue="1">
      <formula>$A33&lt;1</formula>
    </cfRule>
  </conditionalFormatting>
  <conditionalFormatting sqref="T27:T45">
    <cfRule type="expression" dxfId="3695" priority="3645" stopIfTrue="1">
      <formula>$A27&lt;1</formula>
    </cfRule>
  </conditionalFormatting>
  <conditionalFormatting sqref="T33:T37">
    <cfRule type="expression" dxfId="3694" priority="3644" stopIfTrue="1">
      <formula>$A33&lt;1</formula>
    </cfRule>
  </conditionalFormatting>
  <conditionalFormatting sqref="T27:T45">
    <cfRule type="expression" dxfId="3693" priority="3643" stopIfTrue="1">
      <formula>$A27&lt;1</formula>
    </cfRule>
  </conditionalFormatting>
  <conditionalFormatting sqref="T33:T37">
    <cfRule type="expression" dxfId="3692" priority="3642" stopIfTrue="1">
      <formula>$A33&lt;1</formula>
    </cfRule>
  </conditionalFormatting>
  <conditionalFormatting sqref="T27:T45">
    <cfRule type="expression" dxfId="3691" priority="3641" stopIfTrue="1">
      <formula>$A27&lt;1</formula>
    </cfRule>
  </conditionalFormatting>
  <conditionalFormatting sqref="T33:T37">
    <cfRule type="expression" dxfId="3690" priority="3640" stopIfTrue="1">
      <formula>$A33&lt;1</formula>
    </cfRule>
  </conditionalFormatting>
  <conditionalFormatting sqref="T27:T45">
    <cfRule type="expression" dxfId="3689" priority="3639" stopIfTrue="1">
      <formula>$A27&lt;1</formula>
    </cfRule>
  </conditionalFormatting>
  <conditionalFormatting sqref="T33:T37">
    <cfRule type="expression" dxfId="3688" priority="3638" stopIfTrue="1">
      <formula>$A33&lt;1</formula>
    </cfRule>
  </conditionalFormatting>
  <conditionalFormatting sqref="T27:T45">
    <cfRule type="expression" dxfId="3687" priority="3637" stopIfTrue="1">
      <formula>$A27&lt;1</formula>
    </cfRule>
  </conditionalFormatting>
  <conditionalFormatting sqref="T33:T37">
    <cfRule type="expression" dxfId="3686" priority="3636" stopIfTrue="1">
      <formula>$A33&lt;1</formula>
    </cfRule>
  </conditionalFormatting>
  <conditionalFormatting sqref="T27:T45">
    <cfRule type="expression" dxfId="3685" priority="3635" stopIfTrue="1">
      <formula>$A27&lt;1</formula>
    </cfRule>
  </conditionalFormatting>
  <conditionalFormatting sqref="T33:T37">
    <cfRule type="expression" dxfId="3684" priority="3634" stopIfTrue="1">
      <formula>$A33&lt;1</formula>
    </cfRule>
  </conditionalFormatting>
  <conditionalFormatting sqref="T27:T45">
    <cfRule type="expression" dxfId="3683" priority="3633" stopIfTrue="1">
      <formula>$A27&lt;1</formula>
    </cfRule>
  </conditionalFormatting>
  <conditionalFormatting sqref="T33:T37">
    <cfRule type="expression" dxfId="3682" priority="3632" stopIfTrue="1">
      <formula>$A33&lt;1</formula>
    </cfRule>
  </conditionalFormatting>
  <conditionalFormatting sqref="T27:T45">
    <cfRule type="expression" dxfId="3681" priority="3631" stopIfTrue="1">
      <formula>$A27&lt;1</formula>
    </cfRule>
  </conditionalFormatting>
  <conditionalFormatting sqref="T33:T37">
    <cfRule type="expression" dxfId="3680" priority="3630" stopIfTrue="1">
      <formula>$A33&lt;1</formula>
    </cfRule>
  </conditionalFormatting>
  <conditionalFormatting sqref="T27:T45">
    <cfRule type="expression" dxfId="3679" priority="3629" stopIfTrue="1">
      <formula>$A27&lt;1</formula>
    </cfRule>
  </conditionalFormatting>
  <conditionalFormatting sqref="T33:T37">
    <cfRule type="expression" dxfId="3678" priority="3628" stopIfTrue="1">
      <formula>$A33&lt;1</formula>
    </cfRule>
  </conditionalFormatting>
  <conditionalFormatting sqref="T27:T45">
    <cfRule type="expression" dxfId="3677" priority="3627" stopIfTrue="1">
      <formula>$A27&lt;1</formula>
    </cfRule>
  </conditionalFormatting>
  <conditionalFormatting sqref="T33:T37">
    <cfRule type="expression" dxfId="3676" priority="3626" stopIfTrue="1">
      <formula>$A33&lt;1</formula>
    </cfRule>
  </conditionalFormatting>
  <conditionalFormatting sqref="T27:T45">
    <cfRule type="expression" dxfId="3675" priority="3625" stopIfTrue="1">
      <formula>$A27&lt;1</formula>
    </cfRule>
  </conditionalFormatting>
  <conditionalFormatting sqref="T33:T37">
    <cfRule type="expression" dxfId="3674" priority="3624" stopIfTrue="1">
      <formula>$A33&lt;1</formula>
    </cfRule>
  </conditionalFormatting>
  <conditionalFormatting sqref="T27:T45">
    <cfRule type="expression" dxfId="3673" priority="3623" stopIfTrue="1">
      <formula>$A27&lt;1</formula>
    </cfRule>
  </conditionalFormatting>
  <conditionalFormatting sqref="T33:T37">
    <cfRule type="expression" dxfId="3672" priority="3622" stopIfTrue="1">
      <formula>$A33&lt;1</formula>
    </cfRule>
  </conditionalFormatting>
  <conditionalFormatting sqref="T27:T45">
    <cfRule type="expression" dxfId="3671" priority="3621" stopIfTrue="1">
      <formula>$A27&lt;1</formula>
    </cfRule>
  </conditionalFormatting>
  <conditionalFormatting sqref="T33:T37">
    <cfRule type="expression" dxfId="3670" priority="3620" stopIfTrue="1">
      <formula>$A33&lt;1</formula>
    </cfRule>
  </conditionalFormatting>
  <conditionalFormatting sqref="T27:T45">
    <cfRule type="expression" dxfId="3669" priority="3619" stopIfTrue="1">
      <formula>$A27&lt;1</formula>
    </cfRule>
  </conditionalFormatting>
  <conditionalFormatting sqref="T33:T37">
    <cfRule type="expression" dxfId="3668" priority="3618" stopIfTrue="1">
      <formula>$A33&lt;1</formula>
    </cfRule>
  </conditionalFormatting>
  <conditionalFormatting sqref="T27:T45">
    <cfRule type="expression" dxfId="3667" priority="3617" stopIfTrue="1">
      <formula>$A27&lt;1</formula>
    </cfRule>
  </conditionalFormatting>
  <conditionalFormatting sqref="T33:T37">
    <cfRule type="expression" dxfId="3666" priority="3616" stopIfTrue="1">
      <formula>$A33&lt;1</formula>
    </cfRule>
  </conditionalFormatting>
  <conditionalFormatting sqref="T27:T45">
    <cfRule type="expression" dxfId="3665" priority="3615" stopIfTrue="1">
      <formula>$A27&lt;1</formula>
    </cfRule>
  </conditionalFormatting>
  <conditionalFormatting sqref="T33:T37">
    <cfRule type="expression" dxfId="3664" priority="3614" stopIfTrue="1">
      <formula>$A33&lt;1</formula>
    </cfRule>
  </conditionalFormatting>
  <conditionalFormatting sqref="T27:T45">
    <cfRule type="expression" dxfId="3663" priority="3613" stopIfTrue="1">
      <formula>$A27&lt;1</formula>
    </cfRule>
  </conditionalFormatting>
  <conditionalFormatting sqref="T33:T37">
    <cfRule type="expression" dxfId="3662" priority="3612" stopIfTrue="1">
      <formula>$A33&lt;1</formula>
    </cfRule>
  </conditionalFormatting>
  <conditionalFormatting sqref="T27:T45">
    <cfRule type="expression" dxfId="3661" priority="3611" stopIfTrue="1">
      <formula>$A27&lt;1</formula>
    </cfRule>
  </conditionalFormatting>
  <conditionalFormatting sqref="T33:T37">
    <cfRule type="expression" dxfId="3660" priority="3610" stopIfTrue="1">
      <formula>$A33&lt;1</formula>
    </cfRule>
  </conditionalFormatting>
  <conditionalFormatting sqref="T27:T45">
    <cfRule type="expression" dxfId="3659" priority="3609" stopIfTrue="1">
      <formula>$A27&lt;1</formula>
    </cfRule>
  </conditionalFormatting>
  <conditionalFormatting sqref="T33:T37">
    <cfRule type="expression" dxfId="3658" priority="3608" stopIfTrue="1">
      <formula>$A33&lt;1</formula>
    </cfRule>
  </conditionalFormatting>
  <conditionalFormatting sqref="T27:T45">
    <cfRule type="expression" dxfId="3657" priority="3607" stopIfTrue="1">
      <formula>$A27&lt;1</formula>
    </cfRule>
  </conditionalFormatting>
  <conditionalFormatting sqref="T33:T37">
    <cfRule type="expression" dxfId="3656" priority="3606" stopIfTrue="1">
      <formula>$A33&lt;1</formula>
    </cfRule>
  </conditionalFormatting>
  <conditionalFormatting sqref="T27:T45">
    <cfRule type="expression" dxfId="3655" priority="3605" stopIfTrue="1">
      <formula>$A27&lt;1</formula>
    </cfRule>
  </conditionalFormatting>
  <conditionalFormatting sqref="T33:T37">
    <cfRule type="expression" dxfId="3654" priority="3604" stopIfTrue="1">
      <formula>$A33&lt;1</formula>
    </cfRule>
  </conditionalFormatting>
  <conditionalFormatting sqref="T27:T45">
    <cfRule type="expression" dxfId="3653" priority="3603" stopIfTrue="1">
      <formula>$A27&lt;1</formula>
    </cfRule>
  </conditionalFormatting>
  <conditionalFormatting sqref="T33:T37">
    <cfRule type="expression" dxfId="3652" priority="3602" stopIfTrue="1">
      <formula>$A33&lt;1</formula>
    </cfRule>
  </conditionalFormatting>
  <conditionalFormatting sqref="T27:T45">
    <cfRule type="expression" dxfId="3651" priority="3601" stopIfTrue="1">
      <formula>$A27&lt;1</formula>
    </cfRule>
  </conditionalFormatting>
  <conditionalFormatting sqref="T33:T37">
    <cfRule type="expression" dxfId="3650" priority="3600" stopIfTrue="1">
      <formula>$A33&lt;1</formula>
    </cfRule>
  </conditionalFormatting>
  <conditionalFormatting sqref="T27:T45">
    <cfRule type="expression" dxfId="3649" priority="3599" stopIfTrue="1">
      <formula>$A27&lt;1</formula>
    </cfRule>
  </conditionalFormatting>
  <conditionalFormatting sqref="T33:T37">
    <cfRule type="expression" dxfId="3648" priority="3598" stopIfTrue="1">
      <formula>$A33&lt;1</formula>
    </cfRule>
  </conditionalFormatting>
  <conditionalFormatting sqref="T27:T45">
    <cfRule type="expression" dxfId="3647" priority="3597" stopIfTrue="1">
      <formula>$A27&lt;1</formula>
    </cfRule>
  </conditionalFormatting>
  <conditionalFormatting sqref="T33:T37">
    <cfRule type="expression" dxfId="3646" priority="3596" stopIfTrue="1">
      <formula>$A33&lt;1</formula>
    </cfRule>
  </conditionalFormatting>
  <conditionalFormatting sqref="T27:T45">
    <cfRule type="expression" dxfId="3645" priority="3595" stopIfTrue="1">
      <formula>$A27&lt;1</formula>
    </cfRule>
  </conditionalFormatting>
  <conditionalFormatting sqref="T33:T37">
    <cfRule type="expression" dxfId="3644" priority="3594" stopIfTrue="1">
      <formula>$A33&lt;1</formula>
    </cfRule>
  </conditionalFormatting>
  <conditionalFormatting sqref="T27:T45">
    <cfRule type="expression" dxfId="3643" priority="3593" stopIfTrue="1">
      <formula>$A27&lt;1</formula>
    </cfRule>
  </conditionalFormatting>
  <conditionalFormatting sqref="T33:T37">
    <cfRule type="expression" dxfId="3642" priority="3592" stopIfTrue="1">
      <formula>$A33&lt;1</formula>
    </cfRule>
  </conditionalFormatting>
  <conditionalFormatting sqref="T27:T45">
    <cfRule type="expression" dxfId="3641" priority="3591" stopIfTrue="1">
      <formula>$A27&lt;1</formula>
    </cfRule>
  </conditionalFormatting>
  <conditionalFormatting sqref="T33:T37">
    <cfRule type="expression" dxfId="3640" priority="3590" stopIfTrue="1">
      <formula>$A33&lt;1</formula>
    </cfRule>
  </conditionalFormatting>
  <conditionalFormatting sqref="T27:T45">
    <cfRule type="expression" dxfId="3639" priority="3589" stopIfTrue="1">
      <formula>$A27&lt;1</formula>
    </cfRule>
  </conditionalFormatting>
  <conditionalFormatting sqref="T33:T37">
    <cfRule type="expression" dxfId="3638" priority="3588" stopIfTrue="1">
      <formula>$A33&lt;1</formula>
    </cfRule>
  </conditionalFormatting>
  <conditionalFormatting sqref="T27:T45">
    <cfRule type="expression" dxfId="3637" priority="3587" stopIfTrue="1">
      <formula>$A27&lt;1</formula>
    </cfRule>
  </conditionalFormatting>
  <conditionalFormatting sqref="T33:T37">
    <cfRule type="expression" dxfId="3636" priority="3586" stopIfTrue="1">
      <formula>$A33&lt;1</formula>
    </cfRule>
  </conditionalFormatting>
  <conditionalFormatting sqref="T27:T45">
    <cfRule type="expression" dxfId="3635" priority="3585" stopIfTrue="1">
      <formula>$A27&lt;1</formula>
    </cfRule>
  </conditionalFormatting>
  <conditionalFormatting sqref="T33:T37">
    <cfRule type="expression" dxfId="3634" priority="3584" stopIfTrue="1">
      <formula>$A33&lt;1</formula>
    </cfRule>
  </conditionalFormatting>
  <conditionalFormatting sqref="T27:T45">
    <cfRule type="expression" dxfId="3633" priority="3583" stopIfTrue="1">
      <formula>$A27&lt;1</formula>
    </cfRule>
  </conditionalFormatting>
  <conditionalFormatting sqref="T33:T37">
    <cfRule type="expression" dxfId="3632" priority="3582" stopIfTrue="1">
      <formula>$A33&lt;1</formula>
    </cfRule>
  </conditionalFormatting>
  <conditionalFormatting sqref="T27:T45">
    <cfRule type="expression" dxfId="3631" priority="3581" stopIfTrue="1">
      <formula>$A27&lt;1</formula>
    </cfRule>
  </conditionalFormatting>
  <conditionalFormatting sqref="T33:T37">
    <cfRule type="expression" dxfId="3630" priority="3580" stopIfTrue="1">
      <formula>$A33&lt;1</formula>
    </cfRule>
  </conditionalFormatting>
  <conditionalFormatting sqref="T27:T45">
    <cfRule type="expression" dxfId="3629" priority="3579" stopIfTrue="1">
      <formula>$A27&lt;1</formula>
    </cfRule>
  </conditionalFormatting>
  <conditionalFormatting sqref="T33:T37">
    <cfRule type="expression" dxfId="3628" priority="3578" stopIfTrue="1">
      <formula>$A33&lt;1</formula>
    </cfRule>
  </conditionalFormatting>
  <conditionalFormatting sqref="T27:T45">
    <cfRule type="expression" dxfId="3627" priority="3577" stopIfTrue="1">
      <formula>$A27&lt;1</formula>
    </cfRule>
  </conditionalFormatting>
  <conditionalFormatting sqref="T33:T37">
    <cfRule type="expression" dxfId="3626" priority="3576" stopIfTrue="1">
      <formula>$A33&lt;1</formula>
    </cfRule>
  </conditionalFormatting>
  <conditionalFormatting sqref="T27:T45">
    <cfRule type="expression" dxfId="3625" priority="3575" stopIfTrue="1">
      <formula>$A27&lt;1</formula>
    </cfRule>
  </conditionalFormatting>
  <conditionalFormatting sqref="T33:T37">
    <cfRule type="expression" dxfId="3624" priority="3574" stopIfTrue="1">
      <formula>$A33&lt;1</formula>
    </cfRule>
  </conditionalFormatting>
  <conditionalFormatting sqref="T27:T45">
    <cfRule type="expression" dxfId="3623" priority="3573" stopIfTrue="1">
      <formula>$A27&lt;1</formula>
    </cfRule>
  </conditionalFormatting>
  <conditionalFormatting sqref="T33:T37">
    <cfRule type="expression" dxfId="3622" priority="3572" stopIfTrue="1">
      <formula>$A33&lt;1</formula>
    </cfRule>
  </conditionalFormatting>
  <conditionalFormatting sqref="T27:T45">
    <cfRule type="expression" dxfId="3621" priority="3571" stopIfTrue="1">
      <formula>$A27&lt;1</formula>
    </cfRule>
  </conditionalFormatting>
  <conditionalFormatting sqref="T33:T37">
    <cfRule type="expression" dxfId="3620" priority="3570" stopIfTrue="1">
      <formula>$A33&lt;1</formula>
    </cfRule>
  </conditionalFormatting>
  <conditionalFormatting sqref="T27:T45">
    <cfRule type="expression" dxfId="3619" priority="3569" stopIfTrue="1">
      <formula>$A27&lt;1</formula>
    </cfRule>
  </conditionalFormatting>
  <conditionalFormatting sqref="T33:T37">
    <cfRule type="expression" dxfId="3618" priority="3568" stopIfTrue="1">
      <formula>$A33&lt;1</formula>
    </cfRule>
  </conditionalFormatting>
  <conditionalFormatting sqref="T27:T45">
    <cfRule type="expression" dxfId="3617" priority="3567" stopIfTrue="1">
      <formula>$A27&lt;1</formula>
    </cfRule>
  </conditionalFormatting>
  <conditionalFormatting sqref="T33:T37">
    <cfRule type="expression" dxfId="3616" priority="3566" stopIfTrue="1">
      <formula>$A33&lt;1</formula>
    </cfRule>
  </conditionalFormatting>
  <conditionalFormatting sqref="T27:T45">
    <cfRule type="expression" dxfId="3615" priority="3565" stopIfTrue="1">
      <formula>$A27&lt;1</formula>
    </cfRule>
  </conditionalFormatting>
  <conditionalFormatting sqref="T33:T37">
    <cfRule type="expression" dxfId="3614" priority="3564" stopIfTrue="1">
      <formula>$A33&lt;1</formula>
    </cfRule>
  </conditionalFormatting>
  <conditionalFormatting sqref="T27:T45">
    <cfRule type="expression" dxfId="3613" priority="3563" stopIfTrue="1">
      <formula>$A27&lt;1</formula>
    </cfRule>
  </conditionalFormatting>
  <conditionalFormatting sqref="T33:T37">
    <cfRule type="expression" dxfId="3612" priority="3562" stopIfTrue="1">
      <formula>$A33&lt;1</formula>
    </cfRule>
  </conditionalFormatting>
  <conditionalFormatting sqref="T27:T45">
    <cfRule type="expression" dxfId="3611" priority="3561" stopIfTrue="1">
      <formula>$A27&lt;1</formula>
    </cfRule>
  </conditionalFormatting>
  <conditionalFormatting sqref="T33:T37">
    <cfRule type="expression" dxfId="3610" priority="3560" stopIfTrue="1">
      <formula>$A33&lt;1</formula>
    </cfRule>
  </conditionalFormatting>
  <conditionalFormatting sqref="T27:T45">
    <cfRule type="expression" dxfId="3609" priority="3559" stopIfTrue="1">
      <formula>$A27&lt;1</formula>
    </cfRule>
  </conditionalFormatting>
  <conditionalFormatting sqref="T33:T37">
    <cfRule type="expression" dxfId="3608" priority="3558" stopIfTrue="1">
      <formula>$A33&lt;1</formula>
    </cfRule>
  </conditionalFormatting>
  <conditionalFormatting sqref="T27:T45">
    <cfRule type="expression" dxfId="3607" priority="3557" stopIfTrue="1">
      <formula>$A27&lt;1</formula>
    </cfRule>
  </conditionalFormatting>
  <conditionalFormatting sqref="T33:T37">
    <cfRule type="expression" dxfId="3606" priority="3556" stopIfTrue="1">
      <formula>$A33&lt;1</formula>
    </cfRule>
  </conditionalFormatting>
  <conditionalFormatting sqref="T27:T45">
    <cfRule type="expression" dxfId="3605" priority="3555" stopIfTrue="1">
      <formula>$A27&lt;1</formula>
    </cfRule>
  </conditionalFormatting>
  <conditionalFormatting sqref="T33:T37">
    <cfRule type="expression" dxfId="3604" priority="3554" stopIfTrue="1">
      <formula>$A33&lt;1</formula>
    </cfRule>
  </conditionalFormatting>
  <conditionalFormatting sqref="T27:T45">
    <cfRule type="expression" dxfId="3603" priority="3553" stopIfTrue="1">
      <formula>$A27&lt;1</formula>
    </cfRule>
  </conditionalFormatting>
  <conditionalFormatting sqref="T33:T37">
    <cfRule type="expression" dxfId="3602" priority="3552" stopIfTrue="1">
      <formula>$A33&lt;1</formula>
    </cfRule>
  </conditionalFormatting>
  <conditionalFormatting sqref="T27:T45">
    <cfRule type="expression" dxfId="3601" priority="3551" stopIfTrue="1">
      <formula>$A27&lt;1</formula>
    </cfRule>
  </conditionalFormatting>
  <conditionalFormatting sqref="T33:T37">
    <cfRule type="expression" dxfId="3600" priority="3550" stopIfTrue="1">
      <formula>$A33&lt;1</formula>
    </cfRule>
  </conditionalFormatting>
  <conditionalFormatting sqref="T27:T45">
    <cfRule type="expression" dxfId="3599" priority="3549" stopIfTrue="1">
      <formula>$A27&lt;1</formula>
    </cfRule>
  </conditionalFormatting>
  <conditionalFormatting sqref="T33:T37">
    <cfRule type="expression" dxfId="3598" priority="3548" stopIfTrue="1">
      <formula>$A33&lt;1</formula>
    </cfRule>
  </conditionalFormatting>
  <conditionalFormatting sqref="T27:T45">
    <cfRule type="expression" dxfId="3597" priority="3547" stopIfTrue="1">
      <formula>$A27&lt;1</formula>
    </cfRule>
  </conditionalFormatting>
  <conditionalFormatting sqref="T33:T37">
    <cfRule type="expression" dxfId="3596" priority="3546" stopIfTrue="1">
      <formula>$A33&lt;1</formula>
    </cfRule>
  </conditionalFormatting>
  <conditionalFormatting sqref="T27:T45">
    <cfRule type="expression" dxfId="3595" priority="3545" stopIfTrue="1">
      <formula>$A27&lt;1</formula>
    </cfRule>
  </conditionalFormatting>
  <conditionalFormatting sqref="T33:T37">
    <cfRule type="expression" dxfId="3594" priority="3544" stopIfTrue="1">
      <formula>$A33&lt;1</formula>
    </cfRule>
  </conditionalFormatting>
  <conditionalFormatting sqref="T27:T45">
    <cfRule type="expression" dxfId="3593" priority="3543" stopIfTrue="1">
      <formula>$A27&lt;1</formula>
    </cfRule>
  </conditionalFormatting>
  <conditionalFormatting sqref="T33:T37">
    <cfRule type="expression" dxfId="3592" priority="3542" stopIfTrue="1">
      <formula>$A33&lt;1</formula>
    </cfRule>
  </conditionalFormatting>
  <conditionalFormatting sqref="T27:T45">
    <cfRule type="expression" dxfId="3591" priority="3541" stopIfTrue="1">
      <formula>$A27&lt;1</formula>
    </cfRule>
  </conditionalFormatting>
  <conditionalFormatting sqref="T33:T37">
    <cfRule type="expression" dxfId="3590" priority="3540" stopIfTrue="1">
      <formula>$A33&lt;1</formula>
    </cfRule>
  </conditionalFormatting>
  <conditionalFormatting sqref="T27:T45">
    <cfRule type="expression" dxfId="3589" priority="3539" stopIfTrue="1">
      <formula>$A27&lt;1</formula>
    </cfRule>
  </conditionalFormatting>
  <conditionalFormatting sqref="T33:T37">
    <cfRule type="expression" dxfId="3588" priority="3538" stopIfTrue="1">
      <formula>$A33&lt;1</formula>
    </cfRule>
  </conditionalFormatting>
  <conditionalFormatting sqref="T27:T45">
    <cfRule type="expression" dxfId="3587" priority="3537" stopIfTrue="1">
      <formula>$A27&lt;1</formula>
    </cfRule>
  </conditionalFormatting>
  <conditionalFormatting sqref="T33:T37">
    <cfRule type="expression" dxfId="3586" priority="3536" stopIfTrue="1">
      <formula>$A33&lt;1</formula>
    </cfRule>
  </conditionalFormatting>
  <conditionalFormatting sqref="T27:T45">
    <cfRule type="expression" dxfId="3585" priority="3535" stopIfTrue="1">
      <formula>$A27&lt;1</formula>
    </cfRule>
  </conditionalFormatting>
  <conditionalFormatting sqref="T33:T37">
    <cfRule type="expression" dxfId="3584" priority="3534" stopIfTrue="1">
      <formula>$A33&lt;1</formula>
    </cfRule>
  </conditionalFormatting>
  <conditionalFormatting sqref="T27:T45">
    <cfRule type="expression" dxfId="3583" priority="3533" stopIfTrue="1">
      <formula>$A27&lt;1</formula>
    </cfRule>
  </conditionalFormatting>
  <conditionalFormatting sqref="T33:T37">
    <cfRule type="expression" dxfId="3582" priority="3532" stopIfTrue="1">
      <formula>$A33&lt;1</formula>
    </cfRule>
  </conditionalFormatting>
  <conditionalFormatting sqref="T27:T45">
    <cfRule type="expression" dxfId="3581" priority="3531" stopIfTrue="1">
      <formula>$A27&lt;1</formula>
    </cfRule>
  </conditionalFormatting>
  <conditionalFormatting sqref="T33:T37">
    <cfRule type="expression" dxfId="3580" priority="3530" stopIfTrue="1">
      <formula>$A33&lt;1</formula>
    </cfRule>
  </conditionalFormatting>
  <conditionalFormatting sqref="T27:T45">
    <cfRule type="expression" dxfId="3579" priority="3529" stopIfTrue="1">
      <formula>$A27&lt;1</formula>
    </cfRule>
  </conditionalFormatting>
  <conditionalFormatting sqref="T33:T37">
    <cfRule type="expression" dxfId="3578" priority="3528" stopIfTrue="1">
      <formula>$A33&lt;1</formula>
    </cfRule>
  </conditionalFormatting>
  <conditionalFormatting sqref="T27:T45">
    <cfRule type="expression" dxfId="3577" priority="3527" stopIfTrue="1">
      <formula>$A27&lt;1</formula>
    </cfRule>
  </conditionalFormatting>
  <conditionalFormatting sqref="T33:T37">
    <cfRule type="expression" dxfId="3576" priority="3526" stopIfTrue="1">
      <formula>$A33&lt;1</formula>
    </cfRule>
  </conditionalFormatting>
  <conditionalFormatting sqref="T27:T45">
    <cfRule type="expression" dxfId="3575" priority="3525" stopIfTrue="1">
      <formula>$A27&lt;1</formula>
    </cfRule>
  </conditionalFormatting>
  <conditionalFormatting sqref="T33:T37">
    <cfRule type="expression" dxfId="3574" priority="3524" stopIfTrue="1">
      <formula>$A33&lt;1</formula>
    </cfRule>
  </conditionalFormatting>
  <conditionalFormatting sqref="T27:T45">
    <cfRule type="expression" dxfId="3573" priority="3523" stopIfTrue="1">
      <formula>$A27&lt;1</formula>
    </cfRule>
  </conditionalFormatting>
  <conditionalFormatting sqref="T33:T37">
    <cfRule type="expression" dxfId="3572" priority="3522" stopIfTrue="1">
      <formula>$A33&lt;1</formula>
    </cfRule>
  </conditionalFormatting>
  <conditionalFormatting sqref="T27:T45">
    <cfRule type="expression" dxfId="3571" priority="3521" stopIfTrue="1">
      <formula>$A27&lt;1</formula>
    </cfRule>
  </conditionalFormatting>
  <conditionalFormatting sqref="T33:T37">
    <cfRule type="expression" dxfId="3570" priority="3520" stopIfTrue="1">
      <formula>$A33&lt;1</formula>
    </cfRule>
  </conditionalFormatting>
  <conditionalFormatting sqref="T27:T45">
    <cfRule type="expression" dxfId="3569" priority="3519" stopIfTrue="1">
      <formula>$A27&lt;1</formula>
    </cfRule>
  </conditionalFormatting>
  <conditionalFormatting sqref="T33:T37">
    <cfRule type="expression" dxfId="3568" priority="3518" stopIfTrue="1">
      <formula>$A33&lt;1</formula>
    </cfRule>
  </conditionalFormatting>
  <conditionalFormatting sqref="T27:T45">
    <cfRule type="expression" dxfId="3567" priority="3517" stopIfTrue="1">
      <formula>$A27&lt;1</formula>
    </cfRule>
  </conditionalFormatting>
  <conditionalFormatting sqref="T33:T37">
    <cfRule type="expression" dxfId="3566" priority="3516" stopIfTrue="1">
      <formula>$A33&lt;1</formula>
    </cfRule>
  </conditionalFormatting>
  <conditionalFormatting sqref="T27:T45">
    <cfRule type="expression" dxfId="3565" priority="3515" stopIfTrue="1">
      <formula>$A27&lt;1</formula>
    </cfRule>
  </conditionalFormatting>
  <conditionalFormatting sqref="T33:T37">
    <cfRule type="expression" dxfId="3564" priority="3514" stopIfTrue="1">
      <formula>$A33&lt;1</formula>
    </cfRule>
  </conditionalFormatting>
  <conditionalFormatting sqref="T27:T45">
    <cfRule type="expression" dxfId="3563" priority="3513" stopIfTrue="1">
      <formula>$A27&lt;1</formula>
    </cfRule>
  </conditionalFormatting>
  <conditionalFormatting sqref="T33:T37">
    <cfRule type="expression" dxfId="3562" priority="3512" stopIfTrue="1">
      <formula>$A33&lt;1</formula>
    </cfRule>
  </conditionalFormatting>
  <conditionalFormatting sqref="T27:T45">
    <cfRule type="expression" dxfId="3561" priority="3511" stopIfTrue="1">
      <formula>$A27&lt;1</formula>
    </cfRule>
  </conditionalFormatting>
  <conditionalFormatting sqref="T33:T37">
    <cfRule type="expression" dxfId="3560" priority="3510" stopIfTrue="1">
      <formula>$A33&lt;1</formula>
    </cfRule>
  </conditionalFormatting>
  <conditionalFormatting sqref="T27:T45">
    <cfRule type="expression" dxfId="3559" priority="3509" stopIfTrue="1">
      <formula>$A27&lt;1</formula>
    </cfRule>
  </conditionalFormatting>
  <conditionalFormatting sqref="T33:T37">
    <cfRule type="expression" dxfId="3558" priority="3508" stopIfTrue="1">
      <formula>$A33&lt;1</formula>
    </cfRule>
  </conditionalFormatting>
  <conditionalFormatting sqref="T27:T45">
    <cfRule type="expression" dxfId="3557" priority="3507" stopIfTrue="1">
      <formula>$A27&lt;1</formula>
    </cfRule>
  </conditionalFormatting>
  <conditionalFormatting sqref="T33:T37">
    <cfRule type="expression" dxfId="3556" priority="3506" stopIfTrue="1">
      <formula>$A33&lt;1</formula>
    </cfRule>
  </conditionalFormatting>
  <conditionalFormatting sqref="T27:T45">
    <cfRule type="expression" dxfId="3555" priority="3505" stopIfTrue="1">
      <formula>$A27&lt;1</formula>
    </cfRule>
  </conditionalFormatting>
  <conditionalFormatting sqref="T33:T37">
    <cfRule type="expression" dxfId="3554" priority="3504" stopIfTrue="1">
      <formula>$A33&lt;1</formula>
    </cfRule>
  </conditionalFormatting>
  <conditionalFormatting sqref="T27:T45">
    <cfRule type="expression" dxfId="3553" priority="3503" stopIfTrue="1">
      <formula>$A27&lt;1</formula>
    </cfRule>
  </conditionalFormatting>
  <conditionalFormatting sqref="T33:T37">
    <cfRule type="expression" dxfId="3552" priority="3502" stopIfTrue="1">
      <formula>$A33&lt;1</formula>
    </cfRule>
  </conditionalFormatting>
  <conditionalFormatting sqref="T27:T45">
    <cfRule type="expression" dxfId="3551" priority="3501" stopIfTrue="1">
      <formula>$A27&lt;1</formula>
    </cfRule>
  </conditionalFormatting>
  <conditionalFormatting sqref="T33:T37">
    <cfRule type="expression" dxfId="3550" priority="3500" stopIfTrue="1">
      <formula>$A33&lt;1</formula>
    </cfRule>
  </conditionalFormatting>
  <conditionalFormatting sqref="T27:T45">
    <cfRule type="expression" dxfId="3549" priority="3499" stopIfTrue="1">
      <formula>$A27&lt;1</formula>
    </cfRule>
  </conditionalFormatting>
  <conditionalFormatting sqref="T33:T37">
    <cfRule type="expression" dxfId="3548" priority="3498" stopIfTrue="1">
      <formula>$A33&lt;1</formula>
    </cfRule>
  </conditionalFormatting>
  <conditionalFormatting sqref="T27:T45">
    <cfRule type="expression" dxfId="3547" priority="3497" stopIfTrue="1">
      <formula>$A27&lt;1</formula>
    </cfRule>
  </conditionalFormatting>
  <conditionalFormatting sqref="T33:T37">
    <cfRule type="expression" dxfId="3546" priority="3496" stopIfTrue="1">
      <formula>$A33&lt;1</formula>
    </cfRule>
  </conditionalFormatting>
  <conditionalFormatting sqref="T27:T45">
    <cfRule type="expression" dxfId="3545" priority="3495" stopIfTrue="1">
      <formula>$A27&lt;1</formula>
    </cfRule>
  </conditionalFormatting>
  <conditionalFormatting sqref="T33:T37">
    <cfRule type="expression" dxfId="3544" priority="3494" stopIfTrue="1">
      <formula>$A33&lt;1</formula>
    </cfRule>
  </conditionalFormatting>
  <conditionalFormatting sqref="T27:T45">
    <cfRule type="expression" dxfId="3543" priority="3493" stopIfTrue="1">
      <formula>$A27&lt;1</formula>
    </cfRule>
  </conditionalFormatting>
  <conditionalFormatting sqref="T33:T37">
    <cfRule type="expression" dxfId="3542" priority="3492" stopIfTrue="1">
      <formula>$A33&lt;1</formula>
    </cfRule>
  </conditionalFormatting>
  <conditionalFormatting sqref="T27:T45">
    <cfRule type="expression" dxfId="3541" priority="3491" stopIfTrue="1">
      <formula>$A27&lt;1</formula>
    </cfRule>
  </conditionalFormatting>
  <conditionalFormatting sqref="T33:T37">
    <cfRule type="expression" dxfId="3540" priority="3490" stopIfTrue="1">
      <formula>$A33&lt;1</formula>
    </cfRule>
  </conditionalFormatting>
  <conditionalFormatting sqref="T27:T45">
    <cfRule type="expression" dxfId="3539" priority="3489" stopIfTrue="1">
      <formula>$A27&lt;1</formula>
    </cfRule>
  </conditionalFormatting>
  <conditionalFormatting sqref="T33:T37">
    <cfRule type="expression" dxfId="3538" priority="3488" stopIfTrue="1">
      <formula>$A33&lt;1</formula>
    </cfRule>
  </conditionalFormatting>
  <conditionalFormatting sqref="T27:T45">
    <cfRule type="expression" dxfId="3537" priority="3487" stopIfTrue="1">
      <formula>$A27&lt;1</formula>
    </cfRule>
  </conditionalFormatting>
  <conditionalFormatting sqref="T33:T37">
    <cfRule type="expression" dxfId="3536" priority="3486" stopIfTrue="1">
      <formula>$A33&lt;1</formula>
    </cfRule>
  </conditionalFormatting>
  <conditionalFormatting sqref="T27:T45">
    <cfRule type="expression" dxfId="3535" priority="3485" stopIfTrue="1">
      <formula>$A27&lt;1</formula>
    </cfRule>
  </conditionalFormatting>
  <conditionalFormatting sqref="T33:T37">
    <cfRule type="expression" dxfId="3534" priority="3484" stopIfTrue="1">
      <formula>$A33&lt;1</formula>
    </cfRule>
  </conditionalFormatting>
  <conditionalFormatting sqref="T27:T45">
    <cfRule type="expression" dxfId="3533" priority="3483" stopIfTrue="1">
      <formula>$A27&lt;1</formula>
    </cfRule>
  </conditionalFormatting>
  <conditionalFormatting sqref="T33:T37">
    <cfRule type="expression" dxfId="3532" priority="3482" stopIfTrue="1">
      <formula>$A33&lt;1</formula>
    </cfRule>
  </conditionalFormatting>
  <conditionalFormatting sqref="T27:T45">
    <cfRule type="expression" dxfId="3531" priority="3481" stopIfTrue="1">
      <formula>$A27&lt;1</formula>
    </cfRule>
  </conditionalFormatting>
  <conditionalFormatting sqref="T33:T37">
    <cfRule type="expression" dxfId="3530" priority="3480" stopIfTrue="1">
      <formula>$A33&lt;1</formula>
    </cfRule>
  </conditionalFormatting>
  <conditionalFormatting sqref="T27:T45">
    <cfRule type="expression" dxfId="3529" priority="3479" stopIfTrue="1">
      <formula>$A27&lt;1</formula>
    </cfRule>
  </conditionalFormatting>
  <conditionalFormatting sqref="T33:T37">
    <cfRule type="expression" dxfId="3528" priority="3478" stopIfTrue="1">
      <formula>$A33&lt;1</formula>
    </cfRule>
  </conditionalFormatting>
  <conditionalFormatting sqref="T27:T45">
    <cfRule type="expression" dxfId="3527" priority="3477" stopIfTrue="1">
      <formula>$A27&lt;1</formula>
    </cfRule>
  </conditionalFormatting>
  <conditionalFormatting sqref="T33:T37">
    <cfRule type="expression" dxfId="3526" priority="3476" stopIfTrue="1">
      <formula>$A33&lt;1</formula>
    </cfRule>
  </conditionalFormatting>
  <conditionalFormatting sqref="T27:T45">
    <cfRule type="expression" dxfId="3525" priority="3475" stopIfTrue="1">
      <formula>$A27&lt;1</formula>
    </cfRule>
  </conditionalFormatting>
  <conditionalFormatting sqref="T33:T37">
    <cfRule type="expression" dxfId="3524" priority="3474" stopIfTrue="1">
      <formula>$A33&lt;1</formula>
    </cfRule>
  </conditionalFormatting>
  <conditionalFormatting sqref="T27:T45">
    <cfRule type="expression" dxfId="3523" priority="3473" stopIfTrue="1">
      <formula>$A27&lt;1</formula>
    </cfRule>
  </conditionalFormatting>
  <conditionalFormatting sqref="T33:T37">
    <cfRule type="expression" dxfId="3522" priority="3472" stopIfTrue="1">
      <formula>$A33&lt;1</formula>
    </cfRule>
  </conditionalFormatting>
  <conditionalFormatting sqref="T27:T45">
    <cfRule type="expression" dxfId="3521" priority="3471" stopIfTrue="1">
      <formula>$A27&lt;1</formula>
    </cfRule>
  </conditionalFormatting>
  <conditionalFormatting sqref="T33:T37">
    <cfRule type="expression" dxfId="3520" priority="3470" stopIfTrue="1">
      <formula>$A33&lt;1</formula>
    </cfRule>
  </conditionalFormatting>
  <conditionalFormatting sqref="T27:T45">
    <cfRule type="expression" dxfId="3519" priority="3469" stopIfTrue="1">
      <formula>$A27&lt;1</formula>
    </cfRule>
  </conditionalFormatting>
  <conditionalFormatting sqref="T33:T37">
    <cfRule type="expression" dxfId="3518" priority="3468" stopIfTrue="1">
      <formula>$A33&lt;1</formula>
    </cfRule>
  </conditionalFormatting>
  <conditionalFormatting sqref="T27:T45">
    <cfRule type="expression" dxfId="3517" priority="3467" stopIfTrue="1">
      <formula>$A27&lt;1</formula>
    </cfRule>
  </conditionalFormatting>
  <conditionalFormatting sqref="T33:T37">
    <cfRule type="expression" dxfId="3516" priority="3466" stopIfTrue="1">
      <formula>$A33&lt;1</formula>
    </cfRule>
  </conditionalFormatting>
  <conditionalFormatting sqref="T27:T45">
    <cfRule type="expression" dxfId="3515" priority="3465" stopIfTrue="1">
      <formula>$A27&lt;1</formula>
    </cfRule>
  </conditionalFormatting>
  <conditionalFormatting sqref="T33:T37">
    <cfRule type="expression" dxfId="3514" priority="3464" stopIfTrue="1">
      <formula>$A33&lt;1</formula>
    </cfRule>
  </conditionalFormatting>
  <conditionalFormatting sqref="T27:T45">
    <cfRule type="expression" dxfId="3513" priority="3463" stopIfTrue="1">
      <formula>$A27&lt;1</formula>
    </cfRule>
  </conditionalFormatting>
  <conditionalFormatting sqref="T33:T37">
    <cfRule type="expression" dxfId="3512" priority="3462" stopIfTrue="1">
      <formula>$A33&lt;1</formula>
    </cfRule>
  </conditionalFormatting>
  <conditionalFormatting sqref="T27:T45">
    <cfRule type="expression" dxfId="3511" priority="3461" stopIfTrue="1">
      <formula>$A27&lt;1</formula>
    </cfRule>
  </conditionalFormatting>
  <conditionalFormatting sqref="T33:T37">
    <cfRule type="expression" dxfId="3510" priority="3460" stopIfTrue="1">
      <formula>$A33&lt;1</formula>
    </cfRule>
  </conditionalFormatting>
  <conditionalFormatting sqref="T27:T45">
    <cfRule type="expression" dxfId="3509" priority="3459" stopIfTrue="1">
      <formula>$A27&lt;1</formula>
    </cfRule>
  </conditionalFormatting>
  <conditionalFormatting sqref="T33:T37">
    <cfRule type="expression" dxfId="3508" priority="3458" stopIfTrue="1">
      <formula>$A33&lt;1</formula>
    </cfRule>
  </conditionalFormatting>
  <conditionalFormatting sqref="T27:T45">
    <cfRule type="expression" dxfId="3507" priority="3457" stopIfTrue="1">
      <formula>$A27&lt;1</formula>
    </cfRule>
  </conditionalFormatting>
  <conditionalFormatting sqref="T33:T37">
    <cfRule type="expression" dxfId="3506" priority="3456" stopIfTrue="1">
      <formula>$A33&lt;1</formula>
    </cfRule>
  </conditionalFormatting>
  <conditionalFormatting sqref="T27:T45">
    <cfRule type="expression" dxfId="3505" priority="3455" stopIfTrue="1">
      <formula>$A27&lt;1</formula>
    </cfRule>
  </conditionalFormatting>
  <conditionalFormatting sqref="T33:T37">
    <cfRule type="expression" dxfId="3504" priority="3454" stopIfTrue="1">
      <formula>$A33&lt;1</formula>
    </cfRule>
  </conditionalFormatting>
  <conditionalFormatting sqref="T27:T45">
    <cfRule type="expression" dxfId="3503" priority="3453" stopIfTrue="1">
      <formula>$A27&lt;1</formula>
    </cfRule>
  </conditionalFormatting>
  <conditionalFormatting sqref="T33:T37">
    <cfRule type="expression" dxfId="3502" priority="3452" stopIfTrue="1">
      <formula>$A33&lt;1</formula>
    </cfRule>
  </conditionalFormatting>
  <conditionalFormatting sqref="T27:T45">
    <cfRule type="expression" dxfId="3501" priority="3451" stopIfTrue="1">
      <formula>$A27&lt;1</formula>
    </cfRule>
  </conditionalFormatting>
  <conditionalFormatting sqref="T33:T37">
    <cfRule type="expression" dxfId="3500" priority="3450" stopIfTrue="1">
      <formula>$A33&lt;1</formula>
    </cfRule>
  </conditionalFormatting>
  <conditionalFormatting sqref="T27:T45">
    <cfRule type="expression" dxfId="3499" priority="3449" stopIfTrue="1">
      <formula>$A27&lt;1</formula>
    </cfRule>
  </conditionalFormatting>
  <conditionalFormatting sqref="T33:T37">
    <cfRule type="expression" dxfId="3498" priority="3448" stopIfTrue="1">
      <formula>$A33&lt;1</formula>
    </cfRule>
  </conditionalFormatting>
  <conditionalFormatting sqref="T27:T45">
    <cfRule type="expression" dxfId="3497" priority="3447" stopIfTrue="1">
      <formula>$A27&lt;1</formula>
    </cfRule>
  </conditionalFormatting>
  <conditionalFormatting sqref="T33:T37">
    <cfRule type="expression" dxfId="3496" priority="3446" stopIfTrue="1">
      <formula>$A33&lt;1</formula>
    </cfRule>
  </conditionalFormatting>
  <conditionalFormatting sqref="T27:T45">
    <cfRule type="expression" dxfId="3495" priority="3445" stopIfTrue="1">
      <formula>$A27&lt;1</formula>
    </cfRule>
  </conditionalFormatting>
  <conditionalFormatting sqref="T33:T37">
    <cfRule type="expression" dxfId="3494" priority="3444" stopIfTrue="1">
      <formula>$A33&lt;1</formula>
    </cfRule>
  </conditionalFormatting>
  <conditionalFormatting sqref="T27:T45">
    <cfRule type="expression" dxfId="3493" priority="3443" stopIfTrue="1">
      <formula>$A27&lt;1</formula>
    </cfRule>
  </conditionalFormatting>
  <conditionalFormatting sqref="T33:T37">
    <cfRule type="expression" dxfId="3492" priority="3442" stopIfTrue="1">
      <formula>$A33&lt;1</formula>
    </cfRule>
  </conditionalFormatting>
  <conditionalFormatting sqref="T27:T45">
    <cfRule type="expression" dxfId="3491" priority="3441" stopIfTrue="1">
      <formula>$A27&lt;1</formula>
    </cfRule>
  </conditionalFormatting>
  <conditionalFormatting sqref="T33:T37">
    <cfRule type="expression" dxfId="3490" priority="3440" stopIfTrue="1">
      <formula>$A33&lt;1</formula>
    </cfRule>
  </conditionalFormatting>
  <conditionalFormatting sqref="T27:T45">
    <cfRule type="expression" dxfId="3489" priority="3439" stopIfTrue="1">
      <formula>$A27&lt;1</formula>
    </cfRule>
  </conditionalFormatting>
  <conditionalFormatting sqref="T33:T37">
    <cfRule type="expression" dxfId="3488" priority="3438" stopIfTrue="1">
      <formula>$A33&lt;1</formula>
    </cfRule>
  </conditionalFormatting>
  <conditionalFormatting sqref="T27:T45">
    <cfRule type="expression" dxfId="3487" priority="3437" stopIfTrue="1">
      <formula>$A27&lt;1</formula>
    </cfRule>
  </conditionalFormatting>
  <conditionalFormatting sqref="T33:T37">
    <cfRule type="expression" dxfId="3486" priority="3436" stopIfTrue="1">
      <formula>$A33&lt;1</formula>
    </cfRule>
  </conditionalFormatting>
  <conditionalFormatting sqref="T27:T45">
    <cfRule type="expression" dxfId="3485" priority="3435" stopIfTrue="1">
      <formula>$A27&lt;1</formula>
    </cfRule>
  </conditionalFormatting>
  <conditionalFormatting sqref="T33:T37">
    <cfRule type="expression" dxfId="3484" priority="3434" stopIfTrue="1">
      <formula>$A33&lt;1</formula>
    </cfRule>
  </conditionalFormatting>
  <conditionalFormatting sqref="T27:T45">
    <cfRule type="expression" dxfId="3483" priority="3433" stopIfTrue="1">
      <formula>$A27&lt;1</formula>
    </cfRule>
  </conditionalFormatting>
  <conditionalFormatting sqref="T33:T37">
    <cfRule type="expression" dxfId="3482" priority="3432" stopIfTrue="1">
      <formula>$A33&lt;1</formula>
    </cfRule>
  </conditionalFormatting>
  <conditionalFormatting sqref="T27:T45">
    <cfRule type="expression" dxfId="3481" priority="3431" stopIfTrue="1">
      <formula>$A27&lt;1</formula>
    </cfRule>
  </conditionalFormatting>
  <conditionalFormatting sqref="T33:T37">
    <cfRule type="expression" dxfId="3480" priority="3430" stopIfTrue="1">
      <formula>$A33&lt;1</formula>
    </cfRule>
  </conditionalFormatting>
  <conditionalFormatting sqref="T27:T45">
    <cfRule type="expression" dxfId="3479" priority="3429" stopIfTrue="1">
      <formula>$A27&lt;1</formula>
    </cfRule>
  </conditionalFormatting>
  <conditionalFormatting sqref="T33:T37">
    <cfRule type="expression" dxfId="3478" priority="3428" stopIfTrue="1">
      <formula>$A33&lt;1</formula>
    </cfRule>
  </conditionalFormatting>
  <conditionalFormatting sqref="T27:T45">
    <cfRule type="expression" dxfId="3477" priority="3427" stopIfTrue="1">
      <formula>$A27&lt;1</formula>
    </cfRule>
  </conditionalFormatting>
  <conditionalFormatting sqref="T33:T37">
    <cfRule type="expression" dxfId="3476" priority="3426" stopIfTrue="1">
      <formula>$A33&lt;1</formula>
    </cfRule>
  </conditionalFormatting>
  <conditionalFormatting sqref="T27:T45">
    <cfRule type="expression" dxfId="3475" priority="3425" stopIfTrue="1">
      <formula>$A27&lt;1</formula>
    </cfRule>
  </conditionalFormatting>
  <conditionalFormatting sqref="T33:T37">
    <cfRule type="expression" dxfId="3474" priority="3424" stopIfTrue="1">
      <formula>$A33&lt;1</formula>
    </cfRule>
  </conditionalFormatting>
  <conditionalFormatting sqref="T27:T45">
    <cfRule type="expression" dxfId="3473" priority="3423" stopIfTrue="1">
      <formula>$A27&lt;1</formula>
    </cfRule>
  </conditionalFormatting>
  <conditionalFormatting sqref="T33:T37">
    <cfRule type="expression" dxfId="3472" priority="3422" stopIfTrue="1">
      <formula>$A33&lt;1</formula>
    </cfRule>
  </conditionalFormatting>
  <conditionalFormatting sqref="T27:T45">
    <cfRule type="expression" dxfId="3471" priority="3421" stopIfTrue="1">
      <formula>$A27&lt;1</formula>
    </cfRule>
  </conditionalFormatting>
  <conditionalFormatting sqref="T33:T37">
    <cfRule type="expression" dxfId="3470" priority="3420" stopIfTrue="1">
      <formula>$A33&lt;1</formula>
    </cfRule>
  </conditionalFormatting>
  <conditionalFormatting sqref="T27:T45">
    <cfRule type="expression" dxfId="3469" priority="3419" stopIfTrue="1">
      <formula>$A27&lt;1</formula>
    </cfRule>
  </conditionalFormatting>
  <conditionalFormatting sqref="T33:T37">
    <cfRule type="expression" dxfId="3468" priority="3418" stopIfTrue="1">
      <formula>$A33&lt;1</formula>
    </cfRule>
  </conditionalFormatting>
  <conditionalFormatting sqref="T27:T45">
    <cfRule type="expression" dxfId="3467" priority="3417" stopIfTrue="1">
      <formula>$A27&lt;1</formula>
    </cfRule>
  </conditionalFormatting>
  <conditionalFormatting sqref="T33:T37">
    <cfRule type="expression" dxfId="3466" priority="3416" stopIfTrue="1">
      <formula>$A33&lt;1</formula>
    </cfRule>
  </conditionalFormatting>
  <conditionalFormatting sqref="T27:T45">
    <cfRule type="expression" dxfId="3465" priority="3415" stopIfTrue="1">
      <formula>$A27&lt;1</formula>
    </cfRule>
  </conditionalFormatting>
  <conditionalFormatting sqref="T33:T37">
    <cfRule type="expression" dxfId="3464" priority="3414" stopIfTrue="1">
      <formula>$A33&lt;1</formula>
    </cfRule>
  </conditionalFormatting>
  <conditionalFormatting sqref="T27:T45">
    <cfRule type="expression" dxfId="3463" priority="3413" stopIfTrue="1">
      <formula>$A27&lt;1</formula>
    </cfRule>
  </conditionalFormatting>
  <conditionalFormatting sqref="T33:T37">
    <cfRule type="expression" dxfId="3462" priority="3412" stopIfTrue="1">
      <formula>$A33&lt;1</formula>
    </cfRule>
  </conditionalFormatting>
  <conditionalFormatting sqref="T27:T45">
    <cfRule type="expression" dxfId="3461" priority="3411" stopIfTrue="1">
      <formula>$A27&lt;1</formula>
    </cfRule>
  </conditionalFormatting>
  <conditionalFormatting sqref="T33:T37">
    <cfRule type="expression" dxfId="3460" priority="3410" stopIfTrue="1">
      <formula>$A33&lt;1</formula>
    </cfRule>
  </conditionalFormatting>
  <conditionalFormatting sqref="T27:T45">
    <cfRule type="expression" dxfId="3459" priority="3409" stopIfTrue="1">
      <formula>$A27&lt;1</formula>
    </cfRule>
  </conditionalFormatting>
  <conditionalFormatting sqref="T33:T37">
    <cfRule type="expression" dxfId="3458" priority="3408" stopIfTrue="1">
      <formula>$A33&lt;1</formula>
    </cfRule>
  </conditionalFormatting>
  <conditionalFormatting sqref="T27:T45">
    <cfRule type="expression" dxfId="3457" priority="3407" stopIfTrue="1">
      <formula>$A27&lt;1</formula>
    </cfRule>
  </conditionalFormatting>
  <conditionalFormatting sqref="T33:T37">
    <cfRule type="expression" dxfId="3456" priority="3406" stopIfTrue="1">
      <formula>$A33&lt;1</formula>
    </cfRule>
  </conditionalFormatting>
  <conditionalFormatting sqref="T27:T45">
    <cfRule type="expression" dxfId="3455" priority="3405" stopIfTrue="1">
      <formula>$A27&lt;1</formula>
    </cfRule>
  </conditionalFormatting>
  <conditionalFormatting sqref="T33:T37">
    <cfRule type="expression" dxfId="3454" priority="3404" stopIfTrue="1">
      <formula>$A33&lt;1</formula>
    </cfRule>
  </conditionalFormatting>
  <conditionalFormatting sqref="T27:T45">
    <cfRule type="expression" dxfId="3453" priority="3403" stopIfTrue="1">
      <formula>$A27&lt;1</formula>
    </cfRule>
  </conditionalFormatting>
  <conditionalFormatting sqref="T33:T37">
    <cfRule type="expression" dxfId="3452" priority="3402" stopIfTrue="1">
      <formula>$A33&lt;1</formula>
    </cfRule>
  </conditionalFormatting>
  <conditionalFormatting sqref="T27:T45">
    <cfRule type="expression" dxfId="3451" priority="3401" stopIfTrue="1">
      <formula>$A27&lt;1</formula>
    </cfRule>
  </conditionalFormatting>
  <conditionalFormatting sqref="T33:T37">
    <cfRule type="expression" dxfId="3450" priority="3400" stopIfTrue="1">
      <formula>$A33&lt;1</formula>
    </cfRule>
  </conditionalFormatting>
  <conditionalFormatting sqref="T27:T45">
    <cfRule type="expression" dxfId="3449" priority="3399" stopIfTrue="1">
      <formula>$A27&lt;1</formula>
    </cfRule>
  </conditionalFormatting>
  <conditionalFormatting sqref="T33:T37">
    <cfRule type="expression" dxfId="3448" priority="3398" stopIfTrue="1">
      <formula>$A33&lt;1</formula>
    </cfRule>
  </conditionalFormatting>
  <conditionalFormatting sqref="T27:T45">
    <cfRule type="expression" dxfId="3447" priority="3397" stopIfTrue="1">
      <formula>$A27&lt;1</formula>
    </cfRule>
  </conditionalFormatting>
  <conditionalFormatting sqref="T33:T37">
    <cfRule type="expression" dxfId="3446" priority="3396" stopIfTrue="1">
      <formula>$A33&lt;1</formula>
    </cfRule>
  </conditionalFormatting>
  <conditionalFormatting sqref="T27:T45">
    <cfRule type="expression" dxfId="3445" priority="3395" stopIfTrue="1">
      <formula>$A27&lt;1</formula>
    </cfRule>
  </conditionalFormatting>
  <conditionalFormatting sqref="T33:T37">
    <cfRule type="expression" dxfId="3444" priority="3394" stopIfTrue="1">
      <formula>$A33&lt;1</formula>
    </cfRule>
  </conditionalFormatting>
  <conditionalFormatting sqref="T27:T45">
    <cfRule type="expression" dxfId="3443" priority="3393" stopIfTrue="1">
      <formula>$A27&lt;1</formula>
    </cfRule>
  </conditionalFormatting>
  <conditionalFormatting sqref="T33:T37">
    <cfRule type="expression" dxfId="3442" priority="3392" stopIfTrue="1">
      <formula>$A33&lt;1</formula>
    </cfRule>
  </conditionalFormatting>
  <conditionalFormatting sqref="T27:T45">
    <cfRule type="expression" dxfId="3441" priority="3391" stopIfTrue="1">
      <formula>$A27&lt;1</formula>
    </cfRule>
  </conditionalFormatting>
  <conditionalFormatting sqref="T33:T37">
    <cfRule type="expression" dxfId="3440" priority="3390" stopIfTrue="1">
      <formula>$A33&lt;1</formula>
    </cfRule>
  </conditionalFormatting>
  <conditionalFormatting sqref="T27:T45">
    <cfRule type="expression" dxfId="3439" priority="3389" stopIfTrue="1">
      <formula>$A27&lt;1</formula>
    </cfRule>
  </conditionalFormatting>
  <conditionalFormatting sqref="T33:T37">
    <cfRule type="expression" dxfId="3438" priority="3388" stopIfTrue="1">
      <formula>$A33&lt;1</formula>
    </cfRule>
  </conditionalFormatting>
  <conditionalFormatting sqref="T27:T45">
    <cfRule type="expression" dxfId="3437" priority="3387" stopIfTrue="1">
      <formula>$A27&lt;1</formula>
    </cfRule>
  </conditionalFormatting>
  <conditionalFormatting sqref="T33:T37">
    <cfRule type="expression" dxfId="3436" priority="3386" stopIfTrue="1">
      <formula>$A33&lt;1</formula>
    </cfRule>
  </conditionalFormatting>
  <conditionalFormatting sqref="T27:T45">
    <cfRule type="expression" dxfId="3435" priority="3385" stopIfTrue="1">
      <formula>$A27&lt;1</formula>
    </cfRule>
  </conditionalFormatting>
  <conditionalFormatting sqref="T33:T37">
    <cfRule type="expression" dxfId="3434" priority="3384" stopIfTrue="1">
      <formula>$A33&lt;1</formula>
    </cfRule>
  </conditionalFormatting>
  <conditionalFormatting sqref="T27:T45">
    <cfRule type="expression" dxfId="3433" priority="3383" stopIfTrue="1">
      <formula>$A27&lt;1</formula>
    </cfRule>
  </conditionalFormatting>
  <conditionalFormatting sqref="T33:T37">
    <cfRule type="expression" dxfId="3432" priority="3382" stopIfTrue="1">
      <formula>$A33&lt;1</formula>
    </cfRule>
  </conditionalFormatting>
  <conditionalFormatting sqref="T27:T45">
    <cfRule type="expression" dxfId="3431" priority="3381" stopIfTrue="1">
      <formula>$A27&lt;1</formula>
    </cfRule>
  </conditionalFormatting>
  <conditionalFormatting sqref="T33:T37">
    <cfRule type="expression" dxfId="3430" priority="3380" stopIfTrue="1">
      <formula>$A33&lt;1</formula>
    </cfRule>
  </conditionalFormatting>
  <conditionalFormatting sqref="T27:T45">
    <cfRule type="expression" dxfId="3429" priority="3379" stopIfTrue="1">
      <formula>$A27&lt;1</formula>
    </cfRule>
  </conditionalFormatting>
  <conditionalFormatting sqref="T33:T37">
    <cfRule type="expression" dxfId="3428" priority="3378" stopIfTrue="1">
      <formula>$A33&lt;1</formula>
    </cfRule>
  </conditionalFormatting>
  <conditionalFormatting sqref="T27:T45">
    <cfRule type="expression" dxfId="3427" priority="3377" stopIfTrue="1">
      <formula>$A27&lt;1</formula>
    </cfRule>
  </conditionalFormatting>
  <conditionalFormatting sqref="T33:T37">
    <cfRule type="expression" dxfId="3426" priority="3376" stopIfTrue="1">
      <formula>$A33&lt;1</formula>
    </cfRule>
  </conditionalFormatting>
  <conditionalFormatting sqref="T27:T45">
    <cfRule type="expression" dxfId="3425" priority="3375" stopIfTrue="1">
      <formula>$A27&lt;1</formula>
    </cfRule>
  </conditionalFormatting>
  <conditionalFormatting sqref="T33:T37">
    <cfRule type="expression" dxfId="3424" priority="3374" stopIfTrue="1">
      <formula>$A33&lt;1</formula>
    </cfRule>
  </conditionalFormatting>
  <conditionalFormatting sqref="T27:T45">
    <cfRule type="expression" dxfId="3423" priority="3373" stopIfTrue="1">
      <formula>$A27&lt;1</formula>
    </cfRule>
  </conditionalFormatting>
  <conditionalFormatting sqref="T33:T37">
    <cfRule type="expression" dxfId="3422" priority="3372" stopIfTrue="1">
      <formula>$A33&lt;1</formula>
    </cfRule>
  </conditionalFormatting>
  <conditionalFormatting sqref="T27:T45">
    <cfRule type="expression" dxfId="3421" priority="3371" stopIfTrue="1">
      <formula>$A27&lt;1</formula>
    </cfRule>
  </conditionalFormatting>
  <conditionalFormatting sqref="T33:T37">
    <cfRule type="expression" dxfId="3420" priority="3370" stopIfTrue="1">
      <formula>$A33&lt;1</formula>
    </cfRule>
  </conditionalFormatting>
  <conditionalFormatting sqref="T27:T45">
    <cfRule type="expression" dxfId="3419" priority="3369" stopIfTrue="1">
      <formula>$A27&lt;1</formula>
    </cfRule>
  </conditionalFormatting>
  <conditionalFormatting sqref="T33:T37">
    <cfRule type="expression" dxfId="3418" priority="3368" stopIfTrue="1">
      <formula>$A33&lt;1</formula>
    </cfRule>
  </conditionalFormatting>
  <conditionalFormatting sqref="T27:T45">
    <cfRule type="expression" dxfId="3417" priority="3367" stopIfTrue="1">
      <formula>$A27&lt;1</formula>
    </cfRule>
  </conditionalFormatting>
  <conditionalFormatting sqref="T33:T37">
    <cfRule type="expression" dxfId="3416" priority="3366" stopIfTrue="1">
      <formula>$A33&lt;1</formula>
    </cfRule>
  </conditionalFormatting>
  <conditionalFormatting sqref="T27:T45">
    <cfRule type="expression" dxfId="3415" priority="3365" stopIfTrue="1">
      <formula>$A27&lt;1</formula>
    </cfRule>
  </conditionalFormatting>
  <conditionalFormatting sqref="T33:T37">
    <cfRule type="expression" dxfId="3414" priority="3364" stopIfTrue="1">
      <formula>$A33&lt;1</formula>
    </cfRule>
  </conditionalFormatting>
  <conditionalFormatting sqref="T27:T45">
    <cfRule type="expression" dxfId="3413" priority="3363" stopIfTrue="1">
      <formula>$A27&lt;1</formula>
    </cfRule>
  </conditionalFormatting>
  <conditionalFormatting sqref="T33:T37">
    <cfRule type="expression" dxfId="3412" priority="3362" stopIfTrue="1">
      <formula>$A33&lt;1</formula>
    </cfRule>
  </conditionalFormatting>
  <conditionalFormatting sqref="T27:T45">
    <cfRule type="expression" dxfId="3411" priority="3361" stopIfTrue="1">
      <formula>$A27&lt;1</formula>
    </cfRule>
  </conditionalFormatting>
  <conditionalFormatting sqref="T33:T37">
    <cfRule type="expression" dxfId="3410" priority="3360" stopIfTrue="1">
      <formula>$A33&lt;1</formula>
    </cfRule>
  </conditionalFormatting>
  <conditionalFormatting sqref="T27:T45">
    <cfRule type="expression" dxfId="3409" priority="3359" stopIfTrue="1">
      <formula>$A27&lt;1</formula>
    </cfRule>
  </conditionalFormatting>
  <conditionalFormatting sqref="T33:T37">
    <cfRule type="expression" dxfId="3408" priority="3358" stopIfTrue="1">
      <formula>$A33&lt;1</formula>
    </cfRule>
  </conditionalFormatting>
  <conditionalFormatting sqref="T27:T45">
    <cfRule type="expression" dxfId="3407" priority="3357" stopIfTrue="1">
      <formula>$A27&lt;1</formula>
    </cfRule>
  </conditionalFormatting>
  <conditionalFormatting sqref="T33:T37">
    <cfRule type="expression" dxfId="3406" priority="3356" stopIfTrue="1">
      <formula>$A33&lt;1</formula>
    </cfRule>
  </conditionalFormatting>
  <conditionalFormatting sqref="T27:T45">
    <cfRule type="expression" dxfId="3405" priority="3355" stopIfTrue="1">
      <formula>$A27&lt;1</formula>
    </cfRule>
  </conditionalFormatting>
  <conditionalFormatting sqref="T33:T37">
    <cfRule type="expression" dxfId="3404" priority="3354" stopIfTrue="1">
      <formula>$A33&lt;1</formula>
    </cfRule>
  </conditionalFormatting>
  <conditionalFormatting sqref="T27:T45">
    <cfRule type="expression" dxfId="3403" priority="3353" stopIfTrue="1">
      <formula>$A27&lt;1</formula>
    </cfRule>
  </conditionalFormatting>
  <conditionalFormatting sqref="T33:T37">
    <cfRule type="expression" dxfId="3402" priority="3352" stopIfTrue="1">
      <formula>$A33&lt;1</formula>
    </cfRule>
  </conditionalFormatting>
  <conditionalFormatting sqref="T27:T45">
    <cfRule type="expression" dxfId="3401" priority="3351" stopIfTrue="1">
      <formula>$A27&lt;1</formula>
    </cfRule>
  </conditionalFormatting>
  <conditionalFormatting sqref="T33:T37">
    <cfRule type="expression" dxfId="3400" priority="3350" stopIfTrue="1">
      <formula>$A33&lt;1</formula>
    </cfRule>
  </conditionalFormatting>
  <conditionalFormatting sqref="T27:T45">
    <cfRule type="expression" dxfId="3399" priority="3349" stopIfTrue="1">
      <formula>$A27&lt;1</formula>
    </cfRule>
  </conditionalFormatting>
  <conditionalFormatting sqref="T33:T37">
    <cfRule type="expression" dxfId="3398" priority="3348" stopIfTrue="1">
      <formula>$A33&lt;1</formula>
    </cfRule>
  </conditionalFormatting>
  <conditionalFormatting sqref="T27:T45">
    <cfRule type="expression" dxfId="3397" priority="3347" stopIfTrue="1">
      <formula>$A27&lt;1</formula>
    </cfRule>
  </conditionalFormatting>
  <conditionalFormatting sqref="T33:T37">
    <cfRule type="expression" dxfId="3396" priority="3346" stopIfTrue="1">
      <formula>$A33&lt;1</formula>
    </cfRule>
  </conditionalFormatting>
  <conditionalFormatting sqref="T27:T45">
    <cfRule type="expression" dxfId="3395" priority="3345" stopIfTrue="1">
      <formula>$A27&lt;1</formula>
    </cfRule>
  </conditionalFormatting>
  <conditionalFormatting sqref="T33:T37">
    <cfRule type="expression" dxfId="3394" priority="3344" stopIfTrue="1">
      <formula>$A33&lt;1</formula>
    </cfRule>
  </conditionalFormatting>
  <conditionalFormatting sqref="T27:T45">
    <cfRule type="expression" dxfId="3393" priority="3343" stopIfTrue="1">
      <formula>$A27&lt;1</formula>
    </cfRule>
  </conditionalFormatting>
  <conditionalFormatting sqref="T33:T37">
    <cfRule type="expression" dxfId="3392" priority="3342" stopIfTrue="1">
      <formula>$A33&lt;1</formula>
    </cfRule>
  </conditionalFormatting>
  <conditionalFormatting sqref="T27:T45">
    <cfRule type="expression" dxfId="3391" priority="3341" stopIfTrue="1">
      <formula>$A27&lt;1</formula>
    </cfRule>
  </conditionalFormatting>
  <conditionalFormatting sqref="T33:T37">
    <cfRule type="expression" dxfId="3390" priority="3340" stopIfTrue="1">
      <formula>$A33&lt;1</formula>
    </cfRule>
  </conditionalFormatting>
  <conditionalFormatting sqref="T27:T45">
    <cfRule type="expression" dxfId="3389" priority="3339" stopIfTrue="1">
      <formula>$A27&lt;1</formula>
    </cfRule>
  </conditionalFormatting>
  <conditionalFormatting sqref="T33:T37">
    <cfRule type="expression" dxfId="3388" priority="3338" stopIfTrue="1">
      <formula>$A33&lt;1</formula>
    </cfRule>
  </conditionalFormatting>
  <conditionalFormatting sqref="T27:T45">
    <cfRule type="expression" dxfId="3387" priority="3337" stopIfTrue="1">
      <formula>$A27&lt;1</formula>
    </cfRule>
  </conditionalFormatting>
  <conditionalFormatting sqref="T33:T37">
    <cfRule type="expression" dxfId="3386" priority="3336" stopIfTrue="1">
      <formula>$A33&lt;1</formula>
    </cfRule>
  </conditionalFormatting>
  <conditionalFormatting sqref="T27:T45">
    <cfRule type="expression" dxfId="3385" priority="3335" stopIfTrue="1">
      <formula>$A27&lt;1</formula>
    </cfRule>
  </conditionalFormatting>
  <conditionalFormatting sqref="T33:T37">
    <cfRule type="expression" dxfId="3384" priority="3334" stopIfTrue="1">
      <formula>$A33&lt;1</formula>
    </cfRule>
  </conditionalFormatting>
  <conditionalFormatting sqref="T27:T45">
    <cfRule type="expression" dxfId="3383" priority="3333" stopIfTrue="1">
      <formula>$A27&lt;1</formula>
    </cfRule>
  </conditionalFormatting>
  <conditionalFormatting sqref="T33:T37">
    <cfRule type="expression" dxfId="3382" priority="3332" stopIfTrue="1">
      <formula>$A33&lt;1</formula>
    </cfRule>
  </conditionalFormatting>
  <conditionalFormatting sqref="T27:T45">
    <cfRule type="expression" dxfId="3381" priority="3331" stopIfTrue="1">
      <formula>$A27&lt;1</formula>
    </cfRule>
  </conditionalFormatting>
  <conditionalFormatting sqref="T33:T37">
    <cfRule type="expression" dxfId="3380" priority="3330" stopIfTrue="1">
      <formula>$A33&lt;1</formula>
    </cfRule>
  </conditionalFormatting>
  <conditionalFormatting sqref="T27:T45">
    <cfRule type="expression" dxfId="3379" priority="3329" stopIfTrue="1">
      <formula>$A27&lt;1</formula>
    </cfRule>
  </conditionalFormatting>
  <conditionalFormatting sqref="T33:T37">
    <cfRule type="expression" dxfId="3378" priority="3328" stopIfTrue="1">
      <formula>$A33&lt;1</formula>
    </cfRule>
  </conditionalFormatting>
  <conditionalFormatting sqref="T27:T45">
    <cfRule type="expression" dxfId="3377" priority="3327" stopIfTrue="1">
      <formula>$A27&lt;1</formula>
    </cfRule>
  </conditionalFormatting>
  <conditionalFormatting sqref="T33:T37">
    <cfRule type="expression" dxfId="3376" priority="3326" stopIfTrue="1">
      <formula>$A33&lt;1</formula>
    </cfRule>
  </conditionalFormatting>
  <conditionalFormatting sqref="T27:T45">
    <cfRule type="expression" dxfId="3375" priority="3325" stopIfTrue="1">
      <formula>$A27&lt;1</formula>
    </cfRule>
  </conditionalFormatting>
  <conditionalFormatting sqref="T33:T37">
    <cfRule type="expression" dxfId="3374" priority="3324" stopIfTrue="1">
      <formula>$A33&lt;1</formula>
    </cfRule>
  </conditionalFormatting>
  <conditionalFormatting sqref="T27:T45">
    <cfRule type="expression" dxfId="3373" priority="3323" stopIfTrue="1">
      <formula>$A27&lt;1</formula>
    </cfRule>
  </conditionalFormatting>
  <conditionalFormatting sqref="T33:T37">
    <cfRule type="expression" dxfId="3372" priority="3322" stopIfTrue="1">
      <formula>$A33&lt;1</formula>
    </cfRule>
  </conditionalFormatting>
  <conditionalFormatting sqref="T27:T45">
    <cfRule type="expression" dxfId="3371" priority="3321" stopIfTrue="1">
      <formula>$A27&lt;1</formula>
    </cfRule>
  </conditionalFormatting>
  <conditionalFormatting sqref="T33:T37">
    <cfRule type="expression" dxfId="3370" priority="3320" stopIfTrue="1">
      <formula>$A33&lt;1</formula>
    </cfRule>
  </conditionalFormatting>
  <conditionalFormatting sqref="T27:T45">
    <cfRule type="expression" dxfId="3369" priority="3319" stopIfTrue="1">
      <formula>$A27&lt;1</formula>
    </cfRule>
  </conditionalFormatting>
  <conditionalFormatting sqref="T33:T37">
    <cfRule type="expression" dxfId="3368" priority="3318" stopIfTrue="1">
      <formula>$A33&lt;1</formula>
    </cfRule>
  </conditionalFormatting>
  <conditionalFormatting sqref="T27:T45">
    <cfRule type="expression" dxfId="3367" priority="3317" stopIfTrue="1">
      <formula>$A27&lt;1</formula>
    </cfRule>
  </conditionalFormatting>
  <conditionalFormatting sqref="T33:T37">
    <cfRule type="expression" dxfId="3366" priority="3316" stopIfTrue="1">
      <formula>$A33&lt;1</formula>
    </cfRule>
  </conditionalFormatting>
  <conditionalFormatting sqref="T27:T45">
    <cfRule type="expression" dxfId="3365" priority="3315" stopIfTrue="1">
      <formula>$A27&lt;1</formula>
    </cfRule>
  </conditionalFormatting>
  <conditionalFormatting sqref="T33:T37">
    <cfRule type="expression" dxfId="3364" priority="3314" stopIfTrue="1">
      <formula>$A33&lt;1</formula>
    </cfRule>
  </conditionalFormatting>
  <conditionalFormatting sqref="T27:T45">
    <cfRule type="expression" dxfId="3363" priority="3313" stopIfTrue="1">
      <formula>$A27&lt;1</formula>
    </cfRule>
  </conditionalFormatting>
  <conditionalFormatting sqref="T33:T37">
    <cfRule type="expression" dxfId="3362" priority="3312" stopIfTrue="1">
      <formula>$A33&lt;1</formula>
    </cfRule>
  </conditionalFormatting>
  <conditionalFormatting sqref="T27:T45">
    <cfRule type="expression" dxfId="3361" priority="3311" stopIfTrue="1">
      <formula>$A27&lt;1</formula>
    </cfRule>
  </conditionalFormatting>
  <conditionalFormatting sqref="T33:T37">
    <cfRule type="expression" dxfId="3360" priority="3310" stopIfTrue="1">
      <formula>$A33&lt;1</formula>
    </cfRule>
  </conditionalFormatting>
  <conditionalFormatting sqref="T27:T45">
    <cfRule type="expression" dxfId="3359" priority="3309" stopIfTrue="1">
      <formula>$A27&lt;1</formula>
    </cfRule>
  </conditionalFormatting>
  <conditionalFormatting sqref="T33:T37">
    <cfRule type="expression" dxfId="3358" priority="3308" stopIfTrue="1">
      <formula>$A33&lt;1</formula>
    </cfRule>
  </conditionalFormatting>
  <conditionalFormatting sqref="T27:T45">
    <cfRule type="expression" dxfId="3357" priority="3307" stopIfTrue="1">
      <formula>$A27&lt;1</formula>
    </cfRule>
  </conditionalFormatting>
  <conditionalFormatting sqref="T33:T37">
    <cfRule type="expression" dxfId="3356" priority="3306" stopIfTrue="1">
      <formula>$A33&lt;1</formula>
    </cfRule>
  </conditionalFormatting>
  <conditionalFormatting sqref="T27:T45">
    <cfRule type="expression" dxfId="3355" priority="3305" stopIfTrue="1">
      <formula>$A27&lt;1</formula>
    </cfRule>
  </conditionalFormatting>
  <conditionalFormatting sqref="T33:T37">
    <cfRule type="expression" dxfId="3354" priority="3304" stopIfTrue="1">
      <formula>$A33&lt;1</formula>
    </cfRule>
  </conditionalFormatting>
  <conditionalFormatting sqref="T27:T45">
    <cfRule type="expression" dxfId="3353" priority="3303" stopIfTrue="1">
      <formula>$A27&lt;1</formula>
    </cfRule>
  </conditionalFormatting>
  <conditionalFormatting sqref="T33:T37">
    <cfRule type="expression" dxfId="3352" priority="3302" stopIfTrue="1">
      <formula>$A33&lt;1</formula>
    </cfRule>
  </conditionalFormatting>
  <conditionalFormatting sqref="T27:T45">
    <cfRule type="expression" dxfId="3351" priority="3301" stopIfTrue="1">
      <formula>$A27&lt;1</formula>
    </cfRule>
  </conditionalFormatting>
  <conditionalFormatting sqref="T33:T37">
    <cfRule type="expression" dxfId="3350" priority="3300" stopIfTrue="1">
      <formula>$A33&lt;1</formula>
    </cfRule>
  </conditionalFormatting>
  <conditionalFormatting sqref="T27:T45">
    <cfRule type="expression" dxfId="3349" priority="3299" stopIfTrue="1">
      <formula>$A27&lt;1</formula>
    </cfRule>
  </conditionalFormatting>
  <conditionalFormatting sqref="T33:T37">
    <cfRule type="expression" dxfId="3348" priority="3298" stopIfTrue="1">
      <formula>$A33&lt;1</formula>
    </cfRule>
  </conditionalFormatting>
  <conditionalFormatting sqref="T27:T45">
    <cfRule type="expression" dxfId="3347" priority="3297" stopIfTrue="1">
      <formula>$A27&lt;1</formula>
    </cfRule>
  </conditionalFormatting>
  <conditionalFormatting sqref="T33:T37">
    <cfRule type="expression" dxfId="3346" priority="3296" stopIfTrue="1">
      <formula>$A33&lt;1</formula>
    </cfRule>
  </conditionalFormatting>
  <conditionalFormatting sqref="T27:T45">
    <cfRule type="expression" dxfId="3345" priority="3295" stopIfTrue="1">
      <formula>$A27&lt;1</formula>
    </cfRule>
  </conditionalFormatting>
  <conditionalFormatting sqref="T33:T37">
    <cfRule type="expression" dxfId="3344" priority="3294" stopIfTrue="1">
      <formula>$A33&lt;1</formula>
    </cfRule>
  </conditionalFormatting>
  <conditionalFormatting sqref="T27:T45">
    <cfRule type="expression" dxfId="3343" priority="3293" stopIfTrue="1">
      <formula>$A27&lt;1</formula>
    </cfRule>
  </conditionalFormatting>
  <conditionalFormatting sqref="T33:T37">
    <cfRule type="expression" dxfId="3342" priority="3292" stopIfTrue="1">
      <formula>$A33&lt;1</formula>
    </cfRule>
  </conditionalFormatting>
  <conditionalFormatting sqref="T27:T45">
    <cfRule type="expression" dxfId="3341" priority="3291" stopIfTrue="1">
      <formula>$A27&lt;1</formula>
    </cfRule>
  </conditionalFormatting>
  <conditionalFormatting sqref="T33:T37">
    <cfRule type="expression" dxfId="3340" priority="3290" stopIfTrue="1">
      <formula>$A33&lt;1</formula>
    </cfRule>
  </conditionalFormatting>
  <conditionalFormatting sqref="T27:T45">
    <cfRule type="expression" dxfId="3339" priority="3289" stopIfTrue="1">
      <formula>$A27&lt;1</formula>
    </cfRule>
  </conditionalFormatting>
  <conditionalFormatting sqref="T33:T37">
    <cfRule type="expression" dxfId="3338" priority="3288" stopIfTrue="1">
      <formula>$A33&lt;1</formula>
    </cfRule>
  </conditionalFormatting>
  <conditionalFormatting sqref="T27:T45">
    <cfRule type="expression" dxfId="3337" priority="3287" stopIfTrue="1">
      <formula>$A27&lt;1</formula>
    </cfRule>
  </conditionalFormatting>
  <conditionalFormatting sqref="T33:T37">
    <cfRule type="expression" dxfId="3336" priority="3286" stopIfTrue="1">
      <formula>$A33&lt;1</formula>
    </cfRule>
  </conditionalFormatting>
  <conditionalFormatting sqref="T27:T45">
    <cfRule type="expression" dxfId="3335" priority="3285" stopIfTrue="1">
      <formula>$A27&lt;1</formula>
    </cfRule>
  </conditionalFormatting>
  <conditionalFormatting sqref="T33:T37">
    <cfRule type="expression" dxfId="3334" priority="3284" stopIfTrue="1">
      <formula>$A33&lt;1</formula>
    </cfRule>
  </conditionalFormatting>
  <conditionalFormatting sqref="T27:T45">
    <cfRule type="expression" dxfId="3333" priority="3283" stopIfTrue="1">
      <formula>$A27&lt;1</formula>
    </cfRule>
  </conditionalFormatting>
  <conditionalFormatting sqref="T33:T37">
    <cfRule type="expression" dxfId="3332" priority="3282" stopIfTrue="1">
      <formula>$A33&lt;1</formula>
    </cfRule>
  </conditionalFormatting>
  <conditionalFormatting sqref="T27:T45">
    <cfRule type="expression" dxfId="3331" priority="3281" stopIfTrue="1">
      <formula>$A27&lt;1</formula>
    </cfRule>
  </conditionalFormatting>
  <conditionalFormatting sqref="T33:T37">
    <cfRule type="expression" dxfId="3330" priority="3280" stopIfTrue="1">
      <formula>$A33&lt;1</formula>
    </cfRule>
  </conditionalFormatting>
  <conditionalFormatting sqref="T27:T45">
    <cfRule type="expression" dxfId="3329" priority="3279" stopIfTrue="1">
      <formula>$A27&lt;1</formula>
    </cfRule>
  </conditionalFormatting>
  <conditionalFormatting sqref="T33:T37">
    <cfRule type="expression" dxfId="3328" priority="3278" stopIfTrue="1">
      <formula>$A33&lt;1</formula>
    </cfRule>
  </conditionalFormatting>
  <conditionalFormatting sqref="T27:T45">
    <cfRule type="expression" dxfId="3327" priority="3277" stopIfTrue="1">
      <formula>$A27&lt;1</formula>
    </cfRule>
  </conditionalFormatting>
  <conditionalFormatting sqref="T33:T37">
    <cfRule type="expression" dxfId="3326" priority="3276" stopIfTrue="1">
      <formula>$A33&lt;1</formula>
    </cfRule>
  </conditionalFormatting>
  <conditionalFormatting sqref="T27:T45">
    <cfRule type="expression" dxfId="3325" priority="3275" stopIfTrue="1">
      <formula>$A27&lt;1</formula>
    </cfRule>
  </conditionalFormatting>
  <conditionalFormatting sqref="T33:T37">
    <cfRule type="expression" dxfId="3324" priority="3274" stopIfTrue="1">
      <formula>$A33&lt;1</formula>
    </cfRule>
  </conditionalFormatting>
  <conditionalFormatting sqref="T27:T45">
    <cfRule type="expression" dxfId="3323" priority="3273" stopIfTrue="1">
      <formula>$A27&lt;1</formula>
    </cfRule>
  </conditionalFormatting>
  <conditionalFormatting sqref="T33:T37">
    <cfRule type="expression" dxfId="3322" priority="3272" stopIfTrue="1">
      <formula>$A33&lt;1</formula>
    </cfRule>
  </conditionalFormatting>
  <conditionalFormatting sqref="T27:T45">
    <cfRule type="expression" dxfId="3321" priority="3271" stopIfTrue="1">
      <formula>$A27&lt;1</formula>
    </cfRule>
  </conditionalFormatting>
  <conditionalFormatting sqref="T33:T37">
    <cfRule type="expression" dxfId="3320" priority="3270" stopIfTrue="1">
      <formula>$A33&lt;1</formula>
    </cfRule>
  </conditionalFormatting>
  <conditionalFormatting sqref="T27:T45">
    <cfRule type="expression" dxfId="3319" priority="3269" stopIfTrue="1">
      <formula>$A27&lt;1</formula>
    </cfRule>
  </conditionalFormatting>
  <conditionalFormatting sqref="T33:T37">
    <cfRule type="expression" dxfId="3318" priority="3268" stopIfTrue="1">
      <formula>$A33&lt;1</formula>
    </cfRule>
  </conditionalFormatting>
  <conditionalFormatting sqref="T27:T45">
    <cfRule type="expression" dxfId="3317" priority="3267" stopIfTrue="1">
      <formula>$A27&lt;1</formula>
    </cfRule>
  </conditionalFormatting>
  <conditionalFormatting sqref="T33:T37">
    <cfRule type="expression" dxfId="3316" priority="3266" stopIfTrue="1">
      <formula>$A33&lt;1</formula>
    </cfRule>
  </conditionalFormatting>
  <conditionalFormatting sqref="T27:T45">
    <cfRule type="expression" dxfId="3315" priority="3265" stopIfTrue="1">
      <formula>$A27&lt;1</formula>
    </cfRule>
  </conditionalFormatting>
  <conditionalFormatting sqref="T33:T37">
    <cfRule type="expression" dxfId="3314" priority="3264" stopIfTrue="1">
      <formula>$A33&lt;1</formula>
    </cfRule>
  </conditionalFormatting>
  <conditionalFormatting sqref="T27:T45">
    <cfRule type="expression" dxfId="3313" priority="3263" stopIfTrue="1">
      <formula>$A27&lt;1</formula>
    </cfRule>
  </conditionalFormatting>
  <conditionalFormatting sqref="T33:T37">
    <cfRule type="expression" dxfId="3312" priority="3262" stopIfTrue="1">
      <formula>$A33&lt;1</formula>
    </cfRule>
  </conditionalFormatting>
  <conditionalFormatting sqref="T27:T45">
    <cfRule type="expression" dxfId="3311" priority="3261" stopIfTrue="1">
      <formula>$A27&lt;1</formula>
    </cfRule>
  </conditionalFormatting>
  <conditionalFormatting sqref="T33:T37">
    <cfRule type="expression" dxfId="3310" priority="3260" stopIfTrue="1">
      <formula>$A33&lt;1</formula>
    </cfRule>
  </conditionalFormatting>
  <conditionalFormatting sqref="T27:T45">
    <cfRule type="expression" dxfId="3309" priority="3259" stopIfTrue="1">
      <formula>$A27&lt;1</formula>
    </cfRule>
  </conditionalFormatting>
  <conditionalFormatting sqref="T33:T37">
    <cfRule type="expression" dxfId="3308" priority="3258" stopIfTrue="1">
      <formula>$A33&lt;1</formula>
    </cfRule>
  </conditionalFormatting>
  <conditionalFormatting sqref="T27:T45">
    <cfRule type="expression" dxfId="3307" priority="3257" stopIfTrue="1">
      <formula>$A27&lt;1</formula>
    </cfRule>
  </conditionalFormatting>
  <conditionalFormatting sqref="T33:T37">
    <cfRule type="expression" dxfId="3306" priority="3256" stopIfTrue="1">
      <formula>$A33&lt;1</formula>
    </cfRule>
  </conditionalFormatting>
  <conditionalFormatting sqref="T27:T45">
    <cfRule type="expression" dxfId="3305" priority="3255" stopIfTrue="1">
      <formula>$A27&lt;1</formula>
    </cfRule>
  </conditionalFormatting>
  <conditionalFormatting sqref="T33:T37">
    <cfRule type="expression" dxfId="3304" priority="3254" stopIfTrue="1">
      <formula>$A33&lt;1</formula>
    </cfRule>
  </conditionalFormatting>
  <conditionalFormatting sqref="T27:T45">
    <cfRule type="expression" dxfId="3303" priority="3253" stopIfTrue="1">
      <formula>$A27&lt;1</formula>
    </cfRule>
  </conditionalFormatting>
  <conditionalFormatting sqref="T33:T37">
    <cfRule type="expression" dxfId="3302" priority="3252" stopIfTrue="1">
      <formula>$A33&lt;1</formula>
    </cfRule>
  </conditionalFormatting>
  <conditionalFormatting sqref="T27:T45">
    <cfRule type="expression" dxfId="3301" priority="3251" stopIfTrue="1">
      <formula>$A27&lt;1</formula>
    </cfRule>
  </conditionalFormatting>
  <conditionalFormatting sqref="T33:T37">
    <cfRule type="expression" dxfId="3300" priority="3250" stopIfTrue="1">
      <formula>$A33&lt;1</formula>
    </cfRule>
  </conditionalFormatting>
  <conditionalFormatting sqref="T27:T45">
    <cfRule type="expression" dxfId="3299" priority="3249" stopIfTrue="1">
      <formula>$A27&lt;1</formula>
    </cfRule>
  </conditionalFormatting>
  <conditionalFormatting sqref="T33:T37">
    <cfRule type="expression" dxfId="3298" priority="3248" stopIfTrue="1">
      <formula>$A33&lt;1</formula>
    </cfRule>
  </conditionalFormatting>
  <conditionalFormatting sqref="T27:T45">
    <cfRule type="expression" dxfId="3297" priority="3247" stopIfTrue="1">
      <formula>$A27&lt;1</formula>
    </cfRule>
  </conditionalFormatting>
  <conditionalFormatting sqref="T33:T37">
    <cfRule type="expression" dxfId="3296" priority="3246" stopIfTrue="1">
      <formula>$A33&lt;1</formula>
    </cfRule>
  </conditionalFormatting>
  <conditionalFormatting sqref="T27:T45">
    <cfRule type="expression" dxfId="3295" priority="3245" stopIfTrue="1">
      <formula>$A27&lt;1</formula>
    </cfRule>
  </conditionalFormatting>
  <conditionalFormatting sqref="T33:T37">
    <cfRule type="expression" dxfId="3294" priority="3244" stopIfTrue="1">
      <formula>$A33&lt;1</formula>
    </cfRule>
  </conditionalFormatting>
  <conditionalFormatting sqref="T27:T45">
    <cfRule type="expression" dxfId="3293" priority="3243" stopIfTrue="1">
      <formula>$A27&lt;1</formula>
    </cfRule>
  </conditionalFormatting>
  <conditionalFormatting sqref="T33:T37">
    <cfRule type="expression" dxfId="3292" priority="3242" stopIfTrue="1">
      <formula>$A33&lt;1</formula>
    </cfRule>
  </conditionalFormatting>
  <conditionalFormatting sqref="T27:T45">
    <cfRule type="expression" dxfId="3291" priority="3241" stopIfTrue="1">
      <formula>$A27&lt;1</formula>
    </cfRule>
  </conditionalFormatting>
  <conditionalFormatting sqref="T33:T37">
    <cfRule type="expression" dxfId="3290" priority="3240" stopIfTrue="1">
      <formula>$A33&lt;1</formula>
    </cfRule>
  </conditionalFormatting>
  <conditionalFormatting sqref="T27:T45">
    <cfRule type="expression" dxfId="3289" priority="3239" stopIfTrue="1">
      <formula>$A27&lt;1</formula>
    </cfRule>
  </conditionalFormatting>
  <conditionalFormatting sqref="T33:T37">
    <cfRule type="expression" dxfId="3288" priority="3238" stopIfTrue="1">
      <formula>$A33&lt;1</formula>
    </cfRule>
  </conditionalFormatting>
  <conditionalFormatting sqref="T27:T45">
    <cfRule type="expression" dxfId="3287" priority="3237" stopIfTrue="1">
      <formula>$A27&lt;1</formula>
    </cfRule>
  </conditionalFormatting>
  <conditionalFormatting sqref="T33:T37">
    <cfRule type="expression" dxfId="3286" priority="3236" stopIfTrue="1">
      <formula>$A33&lt;1</formula>
    </cfRule>
  </conditionalFormatting>
  <conditionalFormatting sqref="T27:T45">
    <cfRule type="expression" dxfId="3285" priority="3235" stopIfTrue="1">
      <formula>$A27&lt;1</formula>
    </cfRule>
  </conditionalFormatting>
  <conditionalFormatting sqref="T33:T37">
    <cfRule type="expression" dxfId="3284" priority="3234" stopIfTrue="1">
      <formula>$A33&lt;1</formula>
    </cfRule>
  </conditionalFormatting>
  <conditionalFormatting sqref="T27:T45">
    <cfRule type="expression" dxfId="3283" priority="3233" stopIfTrue="1">
      <formula>$A27&lt;1</formula>
    </cfRule>
  </conditionalFormatting>
  <conditionalFormatting sqref="T33:T37">
    <cfRule type="expression" dxfId="3282" priority="3232" stopIfTrue="1">
      <formula>$A33&lt;1</formula>
    </cfRule>
  </conditionalFormatting>
  <conditionalFormatting sqref="T27:T45">
    <cfRule type="expression" dxfId="3281" priority="3231" stopIfTrue="1">
      <formula>$A27&lt;1</formula>
    </cfRule>
  </conditionalFormatting>
  <conditionalFormatting sqref="T33:T37">
    <cfRule type="expression" dxfId="3280" priority="3230" stopIfTrue="1">
      <formula>$A33&lt;1</formula>
    </cfRule>
  </conditionalFormatting>
  <conditionalFormatting sqref="T27:T45">
    <cfRule type="expression" dxfId="3279" priority="3229" stopIfTrue="1">
      <formula>$A27&lt;1</formula>
    </cfRule>
  </conditionalFormatting>
  <conditionalFormatting sqref="T33:T37">
    <cfRule type="expression" dxfId="3278" priority="3228" stopIfTrue="1">
      <formula>$A33&lt;1</formula>
    </cfRule>
  </conditionalFormatting>
  <conditionalFormatting sqref="T27:T45">
    <cfRule type="expression" dxfId="3277" priority="3227" stopIfTrue="1">
      <formula>$A27&lt;1</formula>
    </cfRule>
  </conditionalFormatting>
  <conditionalFormatting sqref="T33:T37">
    <cfRule type="expression" dxfId="3276" priority="3226" stopIfTrue="1">
      <formula>$A33&lt;1</formula>
    </cfRule>
  </conditionalFormatting>
  <conditionalFormatting sqref="T27:T45">
    <cfRule type="expression" dxfId="3275" priority="3225" stopIfTrue="1">
      <formula>$A27&lt;1</formula>
    </cfRule>
  </conditionalFormatting>
  <conditionalFormatting sqref="T33:T37">
    <cfRule type="expression" dxfId="3274" priority="3224" stopIfTrue="1">
      <formula>$A33&lt;1</formula>
    </cfRule>
  </conditionalFormatting>
  <conditionalFormatting sqref="T27:T45">
    <cfRule type="expression" dxfId="3273" priority="3223" stopIfTrue="1">
      <formula>$A27&lt;1</formula>
    </cfRule>
  </conditionalFormatting>
  <conditionalFormatting sqref="T33:T37">
    <cfRule type="expression" dxfId="3272" priority="3222" stopIfTrue="1">
      <formula>$A33&lt;1</formula>
    </cfRule>
  </conditionalFormatting>
  <conditionalFormatting sqref="T27:T45">
    <cfRule type="expression" dxfId="3271" priority="3221" stopIfTrue="1">
      <formula>$A27&lt;1</formula>
    </cfRule>
  </conditionalFormatting>
  <conditionalFormatting sqref="T33:T37">
    <cfRule type="expression" dxfId="3270" priority="3220" stopIfTrue="1">
      <formula>$A33&lt;1</formula>
    </cfRule>
  </conditionalFormatting>
  <conditionalFormatting sqref="T27:T45">
    <cfRule type="expression" dxfId="3269" priority="3219" stopIfTrue="1">
      <formula>$A27&lt;1</formula>
    </cfRule>
  </conditionalFormatting>
  <conditionalFormatting sqref="T33:T37">
    <cfRule type="expression" dxfId="3268" priority="3218" stopIfTrue="1">
      <formula>$A33&lt;1</formula>
    </cfRule>
  </conditionalFormatting>
  <conditionalFormatting sqref="T27:T45">
    <cfRule type="expression" dxfId="3267" priority="3217" stopIfTrue="1">
      <formula>$A27&lt;1</formula>
    </cfRule>
  </conditionalFormatting>
  <conditionalFormatting sqref="T33:T37">
    <cfRule type="expression" dxfId="3266" priority="3216" stopIfTrue="1">
      <formula>$A33&lt;1</formula>
    </cfRule>
  </conditionalFormatting>
  <conditionalFormatting sqref="T27:T45">
    <cfRule type="expression" dxfId="3265" priority="3215" stopIfTrue="1">
      <formula>$A27&lt;1</formula>
    </cfRule>
  </conditionalFormatting>
  <conditionalFormatting sqref="T33:T37">
    <cfRule type="expression" dxfId="3264" priority="3214" stopIfTrue="1">
      <formula>$A33&lt;1</formula>
    </cfRule>
  </conditionalFormatting>
  <conditionalFormatting sqref="T27:T45">
    <cfRule type="expression" dxfId="3263" priority="3213" stopIfTrue="1">
      <formula>$A27&lt;1</formula>
    </cfRule>
  </conditionalFormatting>
  <conditionalFormatting sqref="T33:T37">
    <cfRule type="expression" dxfId="3262" priority="3212" stopIfTrue="1">
      <formula>$A33&lt;1</formula>
    </cfRule>
  </conditionalFormatting>
  <conditionalFormatting sqref="T27:T45">
    <cfRule type="expression" dxfId="3261" priority="3211" stopIfTrue="1">
      <formula>$A27&lt;1</formula>
    </cfRule>
  </conditionalFormatting>
  <conditionalFormatting sqref="T33:T37">
    <cfRule type="expression" dxfId="3260" priority="3210" stopIfTrue="1">
      <formula>$A33&lt;1</formula>
    </cfRule>
  </conditionalFormatting>
  <conditionalFormatting sqref="T27:T45">
    <cfRule type="expression" dxfId="3259" priority="3209" stopIfTrue="1">
      <formula>$A27&lt;1</formula>
    </cfRule>
  </conditionalFormatting>
  <conditionalFormatting sqref="T33:T37">
    <cfRule type="expression" dxfId="3258" priority="3208" stopIfTrue="1">
      <formula>$A33&lt;1</formula>
    </cfRule>
  </conditionalFormatting>
  <conditionalFormatting sqref="T27:T45">
    <cfRule type="expression" dxfId="3257" priority="3207" stopIfTrue="1">
      <formula>$A27&lt;1</formula>
    </cfRule>
  </conditionalFormatting>
  <conditionalFormatting sqref="T33:T37">
    <cfRule type="expression" dxfId="3256" priority="3206" stopIfTrue="1">
      <formula>$A33&lt;1</formula>
    </cfRule>
  </conditionalFormatting>
  <conditionalFormatting sqref="T27:T45">
    <cfRule type="expression" dxfId="3255" priority="3205" stopIfTrue="1">
      <formula>$A27&lt;1</formula>
    </cfRule>
  </conditionalFormatting>
  <conditionalFormatting sqref="T33:T37">
    <cfRule type="expression" dxfId="3254" priority="3204" stopIfTrue="1">
      <formula>$A33&lt;1</formula>
    </cfRule>
  </conditionalFormatting>
  <conditionalFormatting sqref="T27:T45">
    <cfRule type="expression" dxfId="3253" priority="3203" stopIfTrue="1">
      <formula>$A27&lt;1</formula>
    </cfRule>
  </conditionalFormatting>
  <conditionalFormatting sqref="T33:T37">
    <cfRule type="expression" dxfId="3252" priority="3202" stopIfTrue="1">
      <formula>$A33&lt;1</formula>
    </cfRule>
  </conditionalFormatting>
  <conditionalFormatting sqref="T27:T45">
    <cfRule type="expression" dxfId="3251" priority="3201" stopIfTrue="1">
      <formula>$A27&lt;1</formula>
    </cfRule>
  </conditionalFormatting>
  <conditionalFormatting sqref="T33:T37">
    <cfRule type="expression" dxfId="3250" priority="3200" stopIfTrue="1">
      <formula>$A33&lt;1</formula>
    </cfRule>
  </conditionalFormatting>
  <conditionalFormatting sqref="T27:T45">
    <cfRule type="expression" dxfId="3249" priority="3199" stopIfTrue="1">
      <formula>$A27&lt;1</formula>
    </cfRule>
  </conditionalFormatting>
  <conditionalFormatting sqref="T33:T37">
    <cfRule type="expression" dxfId="3248" priority="3198" stopIfTrue="1">
      <formula>$A33&lt;1</formula>
    </cfRule>
  </conditionalFormatting>
  <conditionalFormatting sqref="T27:T45">
    <cfRule type="expression" dxfId="3247" priority="3197" stopIfTrue="1">
      <formula>$A27&lt;1</formula>
    </cfRule>
  </conditionalFormatting>
  <conditionalFormatting sqref="T33:T37">
    <cfRule type="expression" dxfId="3246" priority="3196" stopIfTrue="1">
      <formula>$A33&lt;1</formula>
    </cfRule>
  </conditionalFormatting>
  <conditionalFormatting sqref="T27:T45">
    <cfRule type="expression" dxfId="3245" priority="3195" stopIfTrue="1">
      <formula>$A27&lt;1</formula>
    </cfRule>
  </conditionalFormatting>
  <conditionalFormatting sqref="T33:T37">
    <cfRule type="expression" dxfId="3244" priority="3194" stopIfTrue="1">
      <formula>$A33&lt;1</formula>
    </cfRule>
  </conditionalFormatting>
  <conditionalFormatting sqref="T27:T45">
    <cfRule type="expression" dxfId="3243" priority="3193" stopIfTrue="1">
      <formula>$A27&lt;1</formula>
    </cfRule>
  </conditionalFormatting>
  <conditionalFormatting sqref="T33:T37">
    <cfRule type="expression" dxfId="3242" priority="3192" stopIfTrue="1">
      <formula>$A33&lt;1</formula>
    </cfRule>
  </conditionalFormatting>
  <conditionalFormatting sqref="T27:T45">
    <cfRule type="expression" dxfId="3241" priority="3191" stopIfTrue="1">
      <formula>$A27&lt;1</formula>
    </cfRule>
  </conditionalFormatting>
  <conditionalFormatting sqref="T33:T37">
    <cfRule type="expression" dxfId="3240" priority="3190" stopIfTrue="1">
      <formula>$A33&lt;1</formula>
    </cfRule>
  </conditionalFormatting>
  <conditionalFormatting sqref="T27:T45">
    <cfRule type="expression" dxfId="3239" priority="3189" stopIfTrue="1">
      <formula>$A27&lt;1</formula>
    </cfRule>
  </conditionalFormatting>
  <conditionalFormatting sqref="T33:T37">
    <cfRule type="expression" dxfId="3238" priority="3188" stopIfTrue="1">
      <formula>$A33&lt;1</formula>
    </cfRule>
  </conditionalFormatting>
  <conditionalFormatting sqref="T27:T45">
    <cfRule type="expression" dxfId="3237" priority="3187" stopIfTrue="1">
      <formula>$A27&lt;1</formula>
    </cfRule>
  </conditionalFormatting>
  <conditionalFormatting sqref="T33:T37">
    <cfRule type="expression" dxfId="3236" priority="3186" stopIfTrue="1">
      <formula>$A33&lt;1</formula>
    </cfRule>
  </conditionalFormatting>
  <conditionalFormatting sqref="T27:T45">
    <cfRule type="expression" dxfId="3235" priority="3185" stopIfTrue="1">
      <formula>$A27&lt;1</formula>
    </cfRule>
  </conditionalFormatting>
  <conditionalFormatting sqref="T33:T37">
    <cfRule type="expression" dxfId="3234" priority="3184" stopIfTrue="1">
      <formula>$A33&lt;1</formula>
    </cfRule>
  </conditionalFormatting>
  <conditionalFormatting sqref="T27:T45">
    <cfRule type="expression" dxfId="3233" priority="3183" stopIfTrue="1">
      <formula>$A27&lt;1</formula>
    </cfRule>
  </conditionalFormatting>
  <conditionalFormatting sqref="T33:T37">
    <cfRule type="expression" dxfId="3232" priority="3182" stopIfTrue="1">
      <formula>$A33&lt;1</formula>
    </cfRule>
  </conditionalFormatting>
  <conditionalFormatting sqref="T27:T45">
    <cfRule type="expression" dxfId="3231" priority="3181" stopIfTrue="1">
      <formula>$A27&lt;1</formula>
    </cfRule>
  </conditionalFormatting>
  <conditionalFormatting sqref="T33:T37">
    <cfRule type="expression" dxfId="3230" priority="3180" stopIfTrue="1">
      <formula>$A33&lt;1</formula>
    </cfRule>
  </conditionalFormatting>
  <conditionalFormatting sqref="T27:T45">
    <cfRule type="expression" dxfId="3229" priority="3179" stopIfTrue="1">
      <formula>$A27&lt;1</formula>
    </cfRule>
  </conditionalFormatting>
  <conditionalFormatting sqref="T33:T37">
    <cfRule type="expression" dxfId="3228" priority="3178" stopIfTrue="1">
      <formula>$A33&lt;1</formula>
    </cfRule>
  </conditionalFormatting>
  <conditionalFormatting sqref="T27:T45">
    <cfRule type="expression" dxfId="3227" priority="3177" stopIfTrue="1">
      <formula>$A27&lt;1</formula>
    </cfRule>
  </conditionalFormatting>
  <conditionalFormatting sqref="T33:T37">
    <cfRule type="expression" dxfId="3226" priority="3176" stopIfTrue="1">
      <formula>$A33&lt;1</formula>
    </cfRule>
  </conditionalFormatting>
  <conditionalFormatting sqref="T27:T45">
    <cfRule type="expression" dxfId="3225" priority="3175" stopIfTrue="1">
      <formula>$A27&lt;1</formula>
    </cfRule>
  </conditionalFormatting>
  <conditionalFormatting sqref="T33:T37">
    <cfRule type="expression" dxfId="3224" priority="3174" stopIfTrue="1">
      <formula>$A33&lt;1</formula>
    </cfRule>
  </conditionalFormatting>
  <conditionalFormatting sqref="T27:T45">
    <cfRule type="expression" dxfId="3223" priority="3173" stopIfTrue="1">
      <formula>$A27&lt;1</formula>
    </cfRule>
  </conditionalFormatting>
  <conditionalFormatting sqref="T33:T37">
    <cfRule type="expression" dxfId="3222" priority="3172" stopIfTrue="1">
      <formula>$A33&lt;1</formula>
    </cfRule>
  </conditionalFormatting>
  <conditionalFormatting sqref="T27:T45">
    <cfRule type="expression" dxfId="3221" priority="3171" stopIfTrue="1">
      <formula>$A27&lt;1</formula>
    </cfRule>
  </conditionalFormatting>
  <conditionalFormatting sqref="T33:T37">
    <cfRule type="expression" dxfId="3220" priority="3170" stopIfTrue="1">
      <formula>$A33&lt;1</formula>
    </cfRule>
  </conditionalFormatting>
  <conditionalFormatting sqref="T27:T45">
    <cfRule type="expression" dxfId="3219" priority="3169" stopIfTrue="1">
      <formula>$A27&lt;1</formula>
    </cfRule>
  </conditionalFormatting>
  <conditionalFormatting sqref="T33:T37">
    <cfRule type="expression" dxfId="3218" priority="3168" stopIfTrue="1">
      <formula>$A33&lt;1</formula>
    </cfRule>
  </conditionalFormatting>
  <conditionalFormatting sqref="T27:T45">
    <cfRule type="expression" dxfId="3217" priority="3167" stopIfTrue="1">
      <formula>$A27&lt;1</formula>
    </cfRule>
  </conditionalFormatting>
  <conditionalFormatting sqref="T33:T37">
    <cfRule type="expression" dxfId="3216" priority="3166" stopIfTrue="1">
      <formula>$A33&lt;1</formula>
    </cfRule>
  </conditionalFormatting>
  <conditionalFormatting sqref="T27:T45">
    <cfRule type="expression" dxfId="3215" priority="3165" stopIfTrue="1">
      <formula>$A27&lt;1</formula>
    </cfRule>
  </conditionalFormatting>
  <conditionalFormatting sqref="T33:T37">
    <cfRule type="expression" dxfId="3214" priority="3164" stopIfTrue="1">
      <formula>$A33&lt;1</formula>
    </cfRule>
  </conditionalFormatting>
  <conditionalFormatting sqref="T27:T45">
    <cfRule type="expression" dxfId="3213" priority="3163" stopIfTrue="1">
      <formula>$A27&lt;1</formula>
    </cfRule>
  </conditionalFormatting>
  <conditionalFormatting sqref="T33:T37">
    <cfRule type="expression" dxfId="3212" priority="3162" stopIfTrue="1">
      <formula>$A33&lt;1</formula>
    </cfRule>
  </conditionalFormatting>
  <conditionalFormatting sqref="T27:T45">
    <cfRule type="expression" dxfId="3211" priority="3161" stopIfTrue="1">
      <formula>$A27&lt;1</formula>
    </cfRule>
  </conditionalFormatting>
  <conditionalFormatting sqref="T33:T37">
    <cfRule type="expression" dxfId="3210" priority="3160" stopIfTrue="1">
      <formula>$A33&lt;1</formula>
    </cfRule>
  </conditionalFormatting>
  <conditionalFormatting sqref="T27:T45">
    <cfRule type="expression" dxfId="3209" priority="3159" stopIfTrue="1">
      <formula>$A27&lt;1</formula>
    </cfRule>
  </conditionalFormatting>
  <conditionalFormatting sqref="T33:T37">
    <cfRule type="expression" dxfId="3208" priority="3158" stopIfTrue="1">
      <formula>$A33&lt;1</formula>
    </cfRule>
  </conditionalFormatting>
  <conditionalFormatting sqref="T27:T45">
    <cfRule type="expression" dxfId="3207" priority="3157" stopIfTrue="1">
      <formula>$A27&lt;1</formula>
    </cfRule>
  </conditionalFormatting>
  <conditionalFormatting sqref="T33:T37">
    <cfRule type="expression" dxfId="3206" priority="3156" stopIfTrue="1">
      <formula>$A33&lt;1</formula>
    </cfRule>
  </conditionalFormatting>
  <conditionalFormatting sqref="T27:T45">
    <cfRule type="expression" dxfId="3205" priority="3155" stopIfTrue="1">
      <formula>$A27&lt;1</formula>
    </cfRule>
  </conditionalFormatting>
  <conditionalFormatting sqref="T33:T37">
    <cfRule type="expression" dxfId="3204" priority="3154" stopIfTrue="1">
      <formula>$A33&lt;1</formula>
    </cfRule>
  </conditionalFormatting>
  <conditionalFormatting sqref="T27:T45">
    <cfRule type="expression" dxfId="3203" priority="3153" stopIfTrue="1">
      <formula>$A27&lt;1</formula>
    </cfRule>
  </conditionalFormatting>
  <conditionalFormatting sqref="T33:T37">
    <cfRule type="expression" dxfId="3202" priority="3152" stopIfTrue="1">
      <formula>$A33&lt;1</formula>
    </cfRule>
  </conditionalFormatting>
  <conditionalFormatting sqref="T27:T45">
    <cfRule type="expression" dxfId="3201" priority="3151" stopIfTrue="1">
      <formula>$A27&lt;1</formula>
    </cfRule>
  </conditionalFormatting>
  <conditionalFormatting sqref="T33:T37">
    <cfRule type="expression" dxfId="3200" priority="3150" stopIfTrue="1">
      <formula>$A33&lt;1</formula>
    </cfRule>
  </conditionalFormatting>
  <conditionalFormatting sqref="T27:T45">
    <cfRule type="expression" dxfId="3199" priority="3149" stopIfTrue="1">
      <formula>$A27&lt;1</formula>
    </cfRule>
  </conditionalFormatting>
  <conditionalFormatting sqref="T33:T37">
    <cfRule type="expression" dxfId="3198" priority="3148" stopIfTrue="1">
      <formula>$A33&lt;1</formula>
    </cfRule>
  </conditionalFormatting>
  <conditionalFormatting sqref="T27:T45">
    <cfRule type="expression" dxfId="3197" priority="3147" stopIfTrue="1">
      <formula>$A27&lt;1</formula>
    </cfRule>
  </conditionalFormatting>
  <conditionalFormatting sqref="T33:T37">
    <cfRule type="expression" dxfId="3196" priority="3146" stopIfTrue="1">
      <formula>$A33&lt;1</formula>
    </cfRule>
  </conditionalFormatting>
  <conditionalFormatting sqref="T27:T45">
    <cfRule type="expression" dxfId="3195" priority="3145" stopIfTrue="1">
      <formula>$A27&lt;1</formula>
    </cfRule>
  </conditionalFormatting>
  <conditionalFormatting sqref="T33:T37">
    <cfRule type="expression" dxfId="3194" priority="3144" stopIfTrue="1">
      <formula>$A33&lt;1</formula>
    </cfRule>
  </conditionalFormatting>
  <conditionalFormatting sqref="T27:T45">
    <cfRule type="expression" dxfId="3193" priority="3143" stopIfTrue="1">
      <formula>$A27&lt;1</formula>
    </cfRule>
  </conditionalFormatting>
  <conditionalFormatting sqref="T33:T37">
    <cfRule type="expression" dxfId="3192" priority="3142" stopIfTrue="1">
      <formula>$A33&lt;1</formula>
    </cfRule>
  </conditionalFormatting>
  <conditionalFormatting sqref="T27:T45">
    <cfRule type="expression" dxfId="3191" priority="3141" stopIfTrue="1">
      <formula>$A27&lt;1</formula>
    </cfRule>
  </conditionalFormatting>
  <conditionalFormatting sqref="T33:T37">
    <cfRule type="expression" dxfId="3190" priority="3140" stopIfTrue="1">
      <formula>$A33&lt;1</formula>
    </cfRule>
  </conditionalFormatting>
  <conditionalFormatting sqref="T27:T45">
    <cfRule type="expression" dxfId="3189" priority="3139" stopIfTrue="1">
      <formula>$A27&lt;1</formula>
    </cfRule>
  </conditionalFormatting>
  <conditionalFormatting sqref="T33:T37">
    <cfRule type="expression" dxfId="3188" priority="3138" stopIfTrue="1">
      <formula>$A33&lt;1</formula>
    </cfRule>
  </conditionalFormatting>
  <conditionalFormatting sqref="T27:T45">
    <cfRule type="expression" dxfId="3187" priority="3137" stopIfTrue="1">
      <formula>$A27&lt;1</formula>
    </cfRule>
  </conditionalFormatting>
  <conditionalFormatting sqref="T33:T37">
    <cfRule type="expression" dxfId="3186" priority="3136" stopIfTrue="1">
      <formula>$A33&lt;1</formula>
    </cfRule>
  </conditionalFormatting>
  <conditionalFormatting sqref="T27:T45">
    <cfRule type="expression" dxfId="3185" priority="3135" stopIfTrue="1">
      <formula>$A27&lt;1</formula>
    </cfRule>
  </conditionalFormatting>
  <conditionalFormatting sqref="T33:T37">
    <cfRule type="expression" dxfId="3184" priority="3134" stopIfTrue="1">
      <formula>$A33&lt;1</formula>
    </cfRule>
  </conditionalFormatting>
  <conditionalFormatting sqref="T27:T45">
    <cfRule type="expression" dxfId="3183" priority="3133" stopIfTrue="1">
      <formula>$A27&lt;1</formula>
    </cfRule>
  </conditionalFormatting>
  <conditionalFormatting sqref="T33:T37">
    <cfRule type="expression" dxfId="3182" priority="3132" stopIfTrue="1">
      <formula>$A33&lt;1</formula>
    </cfRule>
  </conditionalFormatting>
  <conditionalFormatting sqref="T27:T45">
    <cfRule type="expression" dxfId="3181" priority="3131" stopIfTrue="1">
      <formula>$A27&lt;1</formula>
    </cfRule>
  </conditionalFormatting>
  <conditionalFormatting sqref="T33:T37">
    <cfRule type="expression" dxfId="3180" priority="3130" stopIfTrue="1">
      <formula>$A33&lt;1</formula>
    </cfRule>
  </conditionalFormatting>
  <conditionalFormatting sqref="T27:T45">
    <cfRule type="expression" dxfId="3179" priority="3129" stopIfTrue="1">
      <formula>$A27&lt;1</formula>
    </cfRule>
  </conditionalFormatting>
  <conditionalFormatting sqref="T33:T37">
    <cfRule type="expression" dxfId="3178" priority="3128" stopIfTrue="1">
      <formula>$A33&lt;1</formula>
    </cfRule>
  </conditionalFormatting>
  <conditionalFormatting sqref="T27:T45">
    <cfRule type="expression" dxfId="3177" priority="3127" stopIfTrue="1">
      <formula>$A27&lt;1</formula>
    </cfRule>
  </conditionalFormatting>
  <conditionalFormatting sqref="T33:T37">
    <cfRule type="expression" dxfId="3176" priority="3126" stopIfTrue="1">
      <formula>$A33&lt;1</formula>
    </cfRule>
  </conditionalFormatting>
  <conditionalFormatting sqref="T27:T45">
    <cfRule type="expression" dxfId="3175" priority="3125" stopIfTrue="1">
      <formula>$A27&lt;1</formula>
    </cfRule>
  </conditionalFormatting>
  <conditionalFormatting sqref="T33:T37">
    <cfRule type="expression" dxfId="3174" priority="3124" stopIfTrue="1">
      <formula>$A33&lt;1</formula>
    </cfRule>
  </conditionalFormatting>
  <conditionalFormatting sqref="T27:T45">
    <cfRule type="expression" dxfId="3173" priority="3123" stopIfTrue="1">
      <formula>$A27&lt;1</formula>
    </cfRule>
  </conditionalFormatting>
  <conditionalFormatting sqref="T33:T37">
    <cfRule type="expression" dxfId="3172" priority="3122" stopIfTrue="1">
      <formula>$A33&lt;1</formula>
    </cfRule>
  </conditionalFormatting>
  <conditionalFormatting sqref="T27:T45">
    <cfRule type="expression" dxfId="3171" priority="3121" stopIfTrue="1">
      <formula>$A27&lt;1</formula>
    </cfRule>
  </conditionalFormatting>
  <conditionalFormatting sqref="T33:T37">
    <cfRule type="expression" dxfId="3170" priority="3120" stopIfTrue="1">
      <formula>$A33&lt;1</formula>
    </cfRule>
  </conditionalFormatting>
  <conditionalFormatting sqref="T27:T45">
    <cfRule type="expression" dxfId="3169" priority="3119" stopIfTrue="1">
      <formula>$A27&lt;1</formula>
    </cfRule>
  </conditionalFormatting>
  <conditionalFormatting sqref="T33:T37">
    <cfRule type="expression" dxfId="3168" priority="3118" stopIfTrue="1">
      <formula>$A33&lt;1</formula>
    </cfRule>
  </conditionalFormatting>
  <conditionalFormatting sqref="T27:T45">
    <cfRule type="expression" dxfId="3167" priority="3117" stopIfTrue="1">
      <formula>$A27&lt;1</formula>
    </cfRule>
  </conditionalFormatting>
  <conditionalFormatting sqref="T33:T37">
    <cfRule type="expression" dxfId="3166" priority="3116" stopIfTrue="1">
      <formula>$A33&lt;1</formula>
    </cfRule>
  </conditionalFormatting>
  <conditionalFormatting sqref="T27:T45">
    <cfRule type="expression" dxfId="3165" priority="3115" stopIfTrue="1">
      <formula>$A27&lt;1</formula>
    </cfRule>
  </conditionalFormatting>
  <conditionalFormatting sqref="T33:T37">
    <cfRule type="expression" dxfId="3164" priority="3114" stopIfTrue="1">
      <formula>$A33&lt;1</formula>
    </cfRule>
  </conditionalFormatting>
  <conditionalFormatting sqref="T27:T45">
    <cfRule type="expression" dxfId="3163" priority="3113" stopIfTrue="1">
      <formula>$A27&lt;1</formula>
    </cfRule>
  </conditionalFormatting>
  <conditionalFormatting sqref="T33:T37">
    <cfRule type="expression" dxfId="3162" priority="3112" stopIfTrue="1">
      <formula>$A33&lt;1</formula>
    </cfRule>
  </conditionalFormatting>
  <conditionalFormatting sqref="T27:T45">
    <cfRule type="expression" dxfId="3161" priority="3111" stopIfTrue="1">
      <formula>$A27&lt;1</formula>
    </cfRule>
  </conditionalFormatting>
  <conditionalFormatting sqref="T33:T37">
    <cfRule type="expression" dxfId="3160" priority="3110" stopIfTrue="1">
      <formula>$A33&lt;1</formula>
    </cfRule>
  </conditionalFormatting>
  <conditionalFormatting sqref="T27:T45">
    <cfRule type="expression" dxfId="3159" priority="3109" stopIfTrue="1">
      <formula>$A27&lt;1</formula>
    </cfRule>
  </conditionalFormatting>
  <conditionalFormatting sqref="T33:T37">
    <cfRule type="expression" dxfId="3158" priority="3108" stopIfTrue="1">
      <formula>$A33&lt;1</formula>
    </cfRule>
  </conditionalFormatting>
  <conditionalFormatting sqref="T27:T45">
    <cfRule type="expression" dxfId="3157" priority="3107" stopIfTrue="1">
      <formula>$A27&lt;1</formula>
    </cfRule>
  </conditionalFormatting>
  <conditionalFormatting sqref="T33:T37">
    <cfRule type="expression" dxfId="3156" priority="3106" stopIfTrue="1">
      <formula>$A33&lt;1</formula>
    </cfRule>
  </conditionalFormatting>
  <conditionalFormatting sqref="T27:T45">
    <cfRule type="expression" dxfId="3155" priority="3105" stopIfTrue="1">
      <formula>$A27&lt;1</formula>
    </cfRule>
  </conditionalFormatting>
  <conditionalFormatting sqref="T33:T37">
    <cfRule type="expression" dxfId="3154" priority="3104" stopIfTrue="1">
      <formula>$A33&lt;1</formula>
    </cfRule>
  </conditionalFormatting>
  <conditionalFormatting sqref="T27:T45">
    <cfRule type="expression" dxfId="3153" priority="3103" stopIfTrue="1">
      <formula>$A27&lt;1</formula>
    </cfRule>
  </conditionalFormatting>
  <conditionalFormatting sqref="T33:T37">
    <cfRule type="expression" dxfId="3152" priority="3102" stopIfTrue="1">
      <formula>$A33&lt;1</formula>
    </cfRule>
  </conditionalFormatting>
  <conditionalFormatting sqref="T27:T45">
    <cfRule type="expression" dxfId="3151" priority="3101" stopIfTrue="1">
      <formula>$A27&lt;1</formula>
    </cfRule>
  </conditionalFormatting>
  <conditionalFormatting sqref="T33:T37">
    <cfRule type="expression" dxfId="3150" priority="3100" stopIfTrue="1">
      <formula>$A33&lt;1</formula>
    </cfRule>
  </conditionalFormatting>
  <conditionalFormatting sqref="T27:T45">
    <cfRule type="expression" dxfId="3149" priority="3099" stopIfTrue="1">
      <formula>$A27&lt;1</formula>
    </cfRule>
  </conditionalFormatting>
  <conditionalFormatting sqref="T33:T37">
    <cfRule type="expression" dxfId="3148" priority="3098" stopIfTrue="1">
      <formula>$A33&lt;1</formula>
    </cfRule>
  </conditionalFormatting>
  <conditionalFormatting sqref="T27:T45">
    <cfRule type="expression" dxfId="3147" priority="3097" stopIfTrue="1">
      <formula>$A27&lt;1</formula>
    </cfRule>
  </conditionalFormatting>
  <conditionalFormatting sqref="T33:T37">
    <cfRule type="expression" dxfId="3146" priority="3096" stopIfTrue="1">
      <formula>$A33&lt;1</formula>
    </cfRule>
  </conditionalFormatting>
  <conditionalFormatting sqref="T27:T45">
    <cfRule type="expression" dxfId="3145" priority="3095" stopIfTrue="1">
      <formula>$A27&lt;1</formula>
    </cfRule>
  </conditionalFormatting>
  <conditionalFormatting sqref="T33:T37">
    <cfRule type="expression" dxfId="3144" priority="3094" stopIfTrue="1">
      <formula>$A33&lt;1</formula>
    </cfRule>
  </conditionalFormatting>
  <conditionalFormatting sqref="T27:T45">
    <cfRule type="expression" dxfId="3143" priority="3093" stopIfTrue="1">
      <formula>$A27&lt;1</formula>
    </cfRule>
  </conditionalFormatting>
  <conditionalFormatting sqref="T33:T37">
    <cfRule type="expression" dxfId="3142" priority="3092" stopIfTrue="1">
      <formula>$A33&lt;1</formula>
    </cfRule>
  </conditionalFormatting>
  <conditionalFormatting sqref="T27:T45">
    <cfRule type="expression" dxfId="3141" priority="3091" stopIfTrue="1">
      <formula>$A27&lt;1</formula>
    </cfRule>
  </conditionalFormatting>
  <conditionalFormatting sqref="T33:T37">
    <cfRule type="expression" dxfId="3140" priority="3090" stopIfTrue="1">
      <formula>$A33&lt;1</formula>
    </cfRule>
  </conditionalFormatting>
  <conditionalFormatting sqref="T27:T45">
    <cfRule type="expression" dxfId="3139" priority="3089" stopIfTrue="1">
      <formula>$A27&lt;1</formula>
    </cfRule>
  </conditionalFormatting>
  <conditionalFormatting sqref="T33:T37">
    <cfRule type="expression" dxfId="3138" priority="3088" stopIfTrue="1">
      <formula>$A33&lt;1</formula>
    </cfRule>
  </conditionalFormatting>
  <conditionalFormatting sqref="T27:T45">
    <cfRule type="expression" dxfId="3137" priority="3087" stopIfTrue="1">
      <formula>$A27&lt;1</formula>
    </cfRule>
  </conditionalFormatting>
  <conditionalFormatting sqref="T33:T37">
    <cfRule type="expression" dxfId="3136" priority="3086" stopIfTrue="1">
      <formula>$A33&lt;1</formula>
    </cfRule>
  </conditionalFormatting>
  <conditionalFormatting sqref="T27:T45">
    <cfRule type="expression" dxfId="3135" priority="3085" stopIfTrue="1">
      <formula>$A27&lt;1</formula>
    </cfRule>
  </conditionalFormatting>
  <conditionalFormatting sqref="T33:T37">
    <cfRule type="expression" dxfId="3134" priority="3084" stopIfTrue="1">
      <formula>$A33&lt;1</formula>
    </cfRule>
  </conditionalFormatting>
  <conditionalFormatting sqref="T27:T45">
    <cfRule type="expression" dxfId="3133" priority="3083" stopIfTrue="1">
      <formula>$A27&lt;1</formula>
    </cfRule>
  </conditionalFormatting>
  <conditionalFormatting sqref="T33:T37">
    <cfRule type="expression" dxfId="3132" priority="3082" stopIfTrue="1">
      <formula>$A33&lt;1</formula>
    </cfRule>
  </conditionalFormatting>
  <conditionalFormatting sqref="T27:T45">
    <cfRule type="expression" dxfId="3131" priority="3081" stopIfTrue="1">
      <formula>$A27&lt;1</formula>
    </cfRule>
  </conditionalFormatting>
  <conditionalFormatting sqref="T33:T37">
    <cfRule type="expression" dxfId="3130" priority="3080" stopIfTrue="1">
      <formula>$A33&lt;1</formula>
    </cfRule>
  </conditionalFormatting>
  <conditionalFormatting sqref="T27:T45">
    <cfRule type="expression" dxfId="3129" priority="3079" stopIfTrue="1">
      <formula>$A27&lt;1</formula>
    </cfRule>
  </conditionalFormatting>
  <conditionalFormatting sqref="T33:T37">
    <cfRule type="expression" dxfId="3128" priority="3078" stopIfTrue="1">
      <formula>$A33&lt;1</formula>
    </cfRule>
  </conditionalFormatting>
  <conditionalFormatting sqref="T27:T45">
    <cfRule type="expression" dxfId="3127" priority="3077" stopIfTrue="1">
      <formula>$A27&lt;1</formula>
    </cfRule>
  </conditionalFormatting>
  <conditionalFormatting sqref="T33:T37">
    <cfRule type="expression" dxfId="3126" priority="3076" stopIfTrue="1">
      <formula>$A33&lt;1</formula>
    </cfRule>
  </conditionalFormatting>
  <conditionalFormatting sqref="T27:T45">
    <cfRule type="expression" dxfId="3125" priority="3075" stopIfTrue="1">
      <formula>$A27&lt;1</formula>
    </cfRule>
  </conditionalFormatting>
  <conditionalFormatting sqref="T33:T37">
    <cfRule type="expression" dxfId="3124" priority="3074" stopIfTrue="1">
      <formula>$A33&lt;1</formula>
    </cfRule>
  </conditionalFormatting>
  <conditionalFormatting sqref="T27:T45">
    <cfRule type="expression" dxfId="3123" priority="3073" stopIfTrue="1">
      <formula>$A27&lt;1</formula>
    </cfRule>
  </conditionalFormatting>
  <conditionalFormatting sqref="T33:T37">
    <cfRule type="expression" dxfId="3122" priority="3072" stopIfTrue="1">
      <formula>$A33&lt;1</formula>
    </cfRule>
  </conditionalFormatting>
  <conditionalFormatting sqref="T27:T45">
    <cfRule type="expression" dxfId="3121" priority="3071" stopIfTrue="1">
      <formula>$A27&lt;1</formula>
    </cfRule>
  </conditionalFormatting>
  <conditionalFormatting sqref="T33:T37">
    <cfRule type="expression" dxfId="3120" priority="3070" stopIfTrue="1">
      <formula>$A33&lt;1</formula>
    </cfRule>
  </conditionalFormatting>
  <conditionalFormatting sqref="T27:T45">
    <cfRule type="expression" dxfId="3119" priority="3069" stopIfTrue="1">
      <formula>$A27&lt;1</formula>
    </cfRule>
  </conditionalFormatting>
  <conditionalFormatting sqref="T33:T37">
    <cfRule type="expression" dxfId="3118" priority="3068" stopIfTrue="1">
      <formula>$A33&lt;1</formula>
    </cfRule>
  </conditionalFormatting>
  <conditionalFormatting sqref="T27:T45">
    <cfRule type="expression" dxfId="3117" priority="3067" stopIfTrue="1">
      <formula>$A27&lt;1</formula>
    </cfRule>
  </conditionalFormatting>
  <conditionalFormatting sqref="T33:T37">
    <cfRule type="expression" dxfId="3116" priority="3066" stopIfTrue="1">
      <formula>$A33&lt;1</formula>
    </cfRule>
  </conditionalFormatting>
  <conditionalFormatting sqref="T27:T45">
    <cfRule type="expression" dxfId="3115" priority="3065" stopIfTrue="1">
      <formula>$A27&lt;1</formula>
    </cfRule>
  </conditionalFormatting>
  <conditionalFormatting sqref="T33:T37">
    <cfRule type="expression" dxfId="3114" priority="3064" stopIfTrue="1">
      <formula>$A33&lt;1</formula>
    </cfRule>
  </conditionalFormatting>
  <conditionalFormatting sqref="T27:T45">
    <cfRule type="expression" dxfId="3113" priority="3063" stopIfTrue="1">
      <formula>$A27&lt;1</formula>
    </cfRule>
  </conditionalFormatting>
  <conditionalFormatting sqref="T33:T37">
    <cfRule type="expression" dxfId="3112" priority="3062" stopIfTrue="1">
      <formula>$A33&lt;1</formula>
    </cfRule>
  </conditionalFormatting>
  <conditionalFormatting sqref="T27:T45">
    <cfRule type="expression" dxfId="3111" priority="3061" stopIfTrue="1">
      <formula>$A27&lt;1</formula>
    </cfRule>
  </conditionalFormatting>
  <conditionalFormatting sqref="T33:T37">
    <cfRule type="expression" dxfId="3110" priority="3060" stopIfTrue="1">
      <formula>$A33&lt;1</formula>
    </cfRule>
  </conditionalFormatting>
  <conditionalFormatting sqref="T27:T45">
    <cfRule type="expression" dxfId="3109" priority="3059" stopIfTrue="1">
      <formula>$A27&lt;1</formula>
    </cfRule>
  </conditionalFormatting>
  <conditionalFormatting sqref="T33:T37">
    <cfRule type="expression" dxfId="3108" priority="3058" stopIfTrue="1">
      <formula>$A33&lt;1</formula>
    </cfRule>
  </conditionalFormatting>
  <conditionalFormatting sqref="T27:T45">
    <cfRule type="expression" dxfId="3107" priority="3057" stopIfTrue="1">
      <formula>$A27&lt;1</formula>
    </cfRule>
  </conditionalFormatting>
  <conditionalFormatting sqref="T33:T37">
    <cfRule type="expression" dxfId="3106" priority="3056" stopIfTrue="1">
      <formula>$A33&lt;1</formula>
    </cfRule>
  </conditionalFormatting>
  <conditionalFormatting sqref="T27:T45">
    <cfRule type="expression" dxfId="3105" priority="3055" stopIfTrue="1">
      <formula>$A27&lt;1</formula>
    </cfRule>
  </conditionalFormatting>
  <conditionalFormatting sqref="T33:T37">
    <cfRule type="expression" dxfId="3104" priority="3054" stopIfTrue="1">
      <formula>$A33&lt;1</formula>
    </cfRule>
  </conditionalFormatting>
  <conditionalFormatting sqref="T27:T45">
    <cfRule type="expression" dxfId="3103" priority="3053" stopIfTrue="1">
      <formula>$A27&lt;1</formula>
    </cfRule>
  </conditionalFormatting>
  <conditionalFormatting sqref="T33:T37">
    <cfRule type="expression" dxfId="3102" priority="3052" stopIfTrue="1">
      <formula>$A33&lt;1</formula>
    </cfRule>
  </conditionalFormatting>
  <conditionalFormatting sqref="T27:T45">
    <cfRule type="expression" dxfId="3101" priority="3051" stopIfTrue="1">
      <formula>$A27&lt;1</formula>
    </cfRule>
  </conditionalFormatting>
  <conditionalFormatting sqref="T33:T37">
    <cfRule type="expression" dxfId="3100" priority="3050" stopIfTrue="1">
      <formula>$A33&lt;1</formula>
    </cfRule>
  </conditionalFormatting>
  <conditionalFormatting sqref="T27:T45">
    <cfRule type="expression" dxfId="3099" priority="3049" stopIfTrue="1">
      <formula>$A27&lt;1</formula>
    </cfRule>
  </conditionalFormatting>
  <conditionalFormatting sqref="T33:T37">
    <cfRule type="expression" dxfId="3098" priority="3048" stopIfTrue="1">
      <formula>$A33&lt;1</formula>
    </cfRule>
  </conditionalFormatting>
  <conditionalFormatting sqref="T27:T45">
    <cfRule type="expression" dxfId="3097" priority="3047" stopIfTrue="1">
      <formula>$A27&lt;1</formula>
    </cfRule>
  </conditionalFormatting>
  <conditionalFormatting sqref="T33:T37">
    <cfRule type="expression" dxfId="3096" priority="3046" stopIfTrue="1">
      <formula>$A33&lt;1</formula>
    </cfRule>
  </conditionalFormatting>
  <conditionalFormatting sqref="T27:T45">
    <cfRule type="expression" dxfId="3095" priority="3045" stopIfTrue="1">
      <formula>$A27&lt;1</formula>
    </cfRule>
  </conditionalFormatting>
  <conditionalFormatting sqref="T33:T37">
    <cfRule type="expression" dxfId="3094" priority="3044" stopIfTrue="1">
      <formula>$A33&lt;1</formula>
    </cfRule>
  </conditionalFormatting>
  <conditionalFormatting sqref="T27:T45">
    <cfRule type="expression" dxfId="3093" priority="3043" stopIfTrue="1">
      <formula>$A27&lt;1</formula>
    </cfRule>
  </conditionalFormatting>
  <conditionalFormatting sqref="T33:T37">
    <cfRule type="expression" dxfId="3092" priority="3042" stopIfTrue="1">
      <formula>$A33&lt;1</formula>
    </cfRule>
  </conditionalFormatting>
  <conditionalFormatting sqref="T27:T45">
    <cfRule type="expression" dxfId="3091" priority="3041" stopIfTrue="1">
      <formula>$A27&lt;1</formula>
    </cfRule>
  </conditionalFormatting>
  <conditionalFormatting sqref="T33:T37">
    <cfRule type="expression" dxfId="3090" priority="3040" stopIfTrue="1">
      <formula>$A33&lt;1</formula>
    </cfRule>
  </conditionalFormatting>
  <conditionalFormatting sqref="T27:T45">
    <cfRule type="expression" dxfId="3089" priority="3039" stopIfTrue="1">
      <formula>$A27&lt;1</formula>
    </cfRule>
  </conditionalFormatting>
  <conditionalFormatting sqref="T33:T37">
    <cfRule type="expression" dxfId="3088" priority="3038" stopIfTrue="1">
      <formula>$A33&lt;1</formula>
    </cfRule>
  </conditionalFormatting>
  <conditionalFormatting sqref="T27:T45">
    <cfRule type="expression" dxfId="3087" priority="3037" stopIfTrue="1">
      <formula>$A27&lt;1</formula>
    </cfRule>
  </conditionalFormatting>
  <conditionalFormatting sqref="T33:T37">
    <cfRule type="expression" dxfId="3086" priority="3036" stopIfTrue="1">
      <formula>$A33&lt;1</formula>
    </cfRule>
  </conditionalFormatting>
  <conditionalFormatting sqref="T27:T45">
    <cfRule type="expression" dxfId="3085" priority="3035" stopIfTrue="1">
      <formula>$A27&lt;1</formula>
    </cfRule>
  </conditionalFormatting>
  <conditionalFormatting sqref="T33:T37">
    <cfRule type="expression" dxfId="3084" priority="3034" stopIfTrue="1">
      <formula>$A33&lt;1</formula>
    </cfRule>
  </conditionalFormatting>
  <conditionalFormatting sqref="T27:T45">
    <cfRule type="expression" dxfId="3083" priority="3033" stopIfTrue="1">
      <formula>$A27&lt;1</formula>
    </cfRule>
  </conditionalFormatting>
  <conditionalFormatting sqref="T33:T37">
    <cfRule type="expression" dxfId="3082" priority="3032" stopIfTrue="1">
      <formula>$A33&lt;1</formula>
    </cfRule>
  </conditionalFormatting>
  <conditionalFormatting sqref="T27:T45">
    <cfRule type="expression" dxfId="3081" priority="3031" stopIfTrue="1">
      <formula>$A27&lt;1</formula>
    </cfRule>
  </conditionalFormatting>
  <conditionalFormatting sqref="T33:T37">
    <cfRule type="expression" dxfId="3080" priority="3030" stopIfTrue="1">
      <formula>$A33&lt;1</formula>
    </cfRule>
  </conditionalFormatting>
  <conditionalFormatting sqref="T27:T45">
    <cfRule type="expression" dxfId="3079" priority="3029" stopIfTrue="1">
      <formula>$A27&lt;1</formula>
    </cfRule>
  </conditionalFormatting>
  <conditionalFormatting sqref="T33:T37">
    <cfRule type="expression" dxfId="3078" priority="3028" stopIfTrue="1">
      <formula>$A33&lt;1</formula>
    </cfRule>
  </conditionalFormatting>
  <conditionalFormatting sqref="T27:T45">
    <cfRule type="expression" dxfId="3077" priority="3027" stopIfTrue="1">
      <formula>$A27&lt;1</formula>
    </cfRule>
  </conditionalFormatting>
  <conditionalFormatting sqref="T33:T37">
    <cfRule type="expression" dxfId="3076" priority="3026" stopIfTrue="1">
      <formula>$A33&lt;1</formula>
    </cfRule>
  </conditionalFormatting>
  <conditionalFormatting sqref="T27:T45">
    <cfRule type="expression" dxfId="3075" priority="3025" stopIfTrue="1">
      <formula>$A27&lt;1</formula>
    </cfRule>
  </conditionalFormatting>
  <conditionalFormatting sqref="T33:T37">
    <cfRule type="expression" dxfId="3074" priority="3024" stopIfTrue="1">
      <formula>$A33&lt;1</formula>
    </cfRule>
  </conditionalFormatting>
  <conditionalFormatting sqref="T27:T45">
    <cfRule type="expression" dxfId="3073" priority="3023" stopIfTrue="1">
      <formula>$A27&lt;1</formula>
    </cfRule>
  </conditionalFormatting>
  <conditionalFormatting sqref="T33:T37">
    <cfRule type="expression" dxfId="3072" priority="3022" stopIfTrue="1">
      <formula>$A33&lt;1</formula>
    </cfRule>
  </conditionalFormatting>
  <conditionalFormatting sqref="T27:T45">
    <cfRule type="expression" dxfId="3071" priority="3021" stopIfTrue="1">
      <formula>$A27&lt;1</formula>
    </cfRule>
  </conditionalFormatting>
  <conditionalFormatting sqref="T33:T37">
    <cfRule type="expression" dxfId="3070" priority="3020" stopIfTrue="1">
      <formula>$A33&lt;1</formula>
    </cfRule>
  </conditionalFormatting>
  <conditionalFormatting sqref="T27:T45">
    <cfRule type="expression" dxfId="3069" priority="3019" stopIfTrue="1">
      <formula>$A27&lt;1</formula>
    </cfRule>
  </conditionalFormatting>
  <conditionalFormatting sqref="T33:T37">
    <cfRule type="expression" dxfId="3068" priority="3018" stopIfTrue="1">
      <formula>$A33&lt;1</formula>
    </cfRule>
  </conditionalFormatting>
  <conditionalFormatting sqref="T27:T45">
    <cfRule type="expression" dxfId="3067" priority="3017" stopIfTrue="1">
      <formula>$A27&lt;1</formula>
    </cfRule>
  </conditionalFormatting>
  <conditionalFormatting sqref="T33:T37">
    <cfRule type="expression" dxfId="3066" priority="3016" stopIfTrue="1">
      <formula>$A33&lt;1</formula>
    </cfRule>
  </conditionalFormatting>
  <conditionalFormatting sqref="T27:T45">
    <cfRule type="expression" dxfId="3065" priority="3015" stopIfTrue="1">
      <formula>$A27&lt;1</formula>
    </cfRule>
  </conditionalFormatting>
  <conditionalFormatting sqref="T33:T37">
    <cfRule type="expression" dxfId="3064" priority="3014" stopIfTrue="1">
      <formula>$A33&lt;1</formula>
    </cfRule>
  </conditionalFormatting>
  <conditionalFormatting sqref="T27:T45">
    <cfRule type="expression" dxfId="3063" priority="3013" stopIfTrue="1">
      <formula>$A27&lt;1</formula>
    </cfRule>
  </conditionalFormatting>
  <conditionalFormatting sqref="T33:T37">
    <cfRule type="expression" dxfId="3062" priority="3012" stopIfTrue="1">
      <formula>$A33&lt;1</formula>
    </cfRule>
  </conditionalFormatting>
  <conditionalFormatting sqref="T27:T45">
    <cfRule type="expression" dxfId="3061" priority="3011" stopIfTrue="1">
      <formula>$A27&lt;1</formula>
    </cfRule>
  </conditionalFormatting>
  <conditionalFormatting sqref="T33:T37">
    <cfRule type="expression" dxfId="3060" priority="3010" stopIfTrue="1">
      <formula>$A33&lt;1</formula>
    </cfRule>
  </conditionalFormatting>
  <conditionalFormatting sqref="T27:T45">
    <cfRule type="expression" dxfId="3059" priority="3009" stopIfTrue="1">
      <formula>$A27&lt;1</formula>
    </cfRule>
  </conditionalFormatting>
  <conditionalFormatting sqref="T33:T37">
    <cfRule type="expression" dxfId="3058" priority="3008" stopIfTrue="1">
      <formula>$A33&lt;1</formula>
    </cfRule>
  </conditionalFormatting>
  <conditionalFormatting sqref="T27:T45">
    <cfRule type="expression" dxfId="3057" priority="3007" stopIfTrue="1">
      <formula>$A27&lt;1</formula>
    </cfRule>
  </conditionalFormatting>
  <conditionalFormatting sqref="T33:T37">
    <cfRule type="expression" dxfId="3056" priority="3006" stopIfTrue="1">
      <formula>$A33&lt;1</formula>
    </cfRule>
  </conditionalFormatting>
  <conditionalFormatting sqref="T27:T45">
    <cfRule type="expression" dxfId="3055" priority="3005" stopIfTrue="1">
      <formula>$A27&lt;1</formula>
    </cfRule>
  </conditionalFormatting>
  <conditionalFormatting sqref="T33:T37">
    <cfRule type="expression" dxfId="3054" priority="3004" stopIfTrue="1">
      <formula>$A33&lt;1</formula>
    </cfRule>
  </conditionalFormatting>
  <conditionalFormatting sqref="T27:T45">
    <cfRule type="expression" dxfId="3053" priority="3003" stopIfTrue="1">
      <formula>$A27&lt;1</formula>
    </cfRule>
  </conditionalFormatting>
  <conditionalFormatting sqref="T33:T37">
    <cfRule type="expression" dxfId="3052" priority="3002" stopIfTrue="1">
      <formula>$A33&lt;1</formula>
    </cfRule>
  </conditionalFormatting>
  <conditionalFormatting sqref="T27:T45">
    <cfRule type="expression" dxfId="3051" priority="3001" stopIfTrue="1">
      <formula>$A27&lt;1</formula>
    </cfRule>
  </conditionalFormatting>
  <conditionalFormatting sqref="T33:T37">
    <cfRule type="expression" dxfId="3050" priority="3000" stopIfTrue="1">
      <formula>$A33&lt;1</formula>
    </cfRule>
  </conditionalFormatting>
  <conditionalFormatting sqref="T27:T45">
    <cfRule type="expression" dxfId="3049" priority="2999" stopIfTrue="1">
      <formula>$A27&lt;1</formula>
    </cfRule>
  </conditionalFormatting>
  <conditionalFormatting sqref="T33:T37">
    <cfRule type="expression" dxfId="3048" priority="2998" stopIfTrue="1">
      <formula>$A33&lt;1</formula>
    </cfRule>
  </conditionalFormatting>
  <conditionalFormatting sqref="T27:T45">
    <cfRule type="expression" dxfId="3047" priority="2997" stopIfTrue="1">
      <formula>$A27&lt;1</formula>
    </cfRule>
  </conditionalFormatting>
  <conditionalFormatting sqref="T33:T37">
    <cfRule type="expression" dxfId="3046" priority="2996" stopIfTrue="1">
      <formula>$A33&lt;1</formula>
    </cfRule>
  </conditionalFormatting>
  <conditionalFormatting sqref="T27:T45">
    <cfRule type="expression" dxfId="3045" priority="2995" stopIfTrue="1">
      <formula>$A27&lt;1</formula>
    </cfRule>
  </conditionalFormatting>
  <conditionalFormatting sqref="T33:T37">
    <cfRule type="expression" dxfId="3044" priority="2994" stopIfTrue="1">
      <formula>$A33&lt;1</formula>
    </cfRule>
  </conditionalFormatting>
  <conditionalFormatting sqref="T27:T45">
    <cfRule type="expression" dxfId="3043" priority="2993" stopIfTrue="1">
      <formula>$A27&lt;1</formula>
    </cfRule>
  </conditionalFormatting>
  <conditionalFormatting sqref="T33:T37">
    <cfRule type="expression" dxfId="3042" priority="2992" stopIfTrue="1">
      <formula>$A33&lt;1</formula>
    </cfRule>
  </conditionalFormatting>
  <conditionalFormatting sqref="T27:T45">
    <cfRule type="expression" dxfId="3041" priority="2991" stopIfTrue="1">
      <formula>$A27&lt;1</formula>
    </cfRule>
  </conditionalFormatting>
  <conditionalFormatting sqref="T33:T37">
    <cfRule type="expression" dxfId="3040" priority="2990" stopIfTrue="1">
      <formula>$A33&lt;1</formula>
    </cfRule>
  </conditionalFormatting>
  <conditionalFormatting sqref="T27:T45">
    <cfRule type="expression" dxfId="3039" priority="2989" stopIfTrue="1">
      <formula>$A27&lt;1</formula>
    </cfRule>
  </conditionalFormatting>
  <conditionalFormatting sqref="T33:T37">
    <cfRule type="expression" dxfId="3038" priority="2988" stopIfTrue="1">
      <formula>$A33&lt;1</formula>
    </cfRule>
  </conditionalFormatting>
  <conditionalFormatting sqref="T27:T45">
    <cfRule type="expression" dxfId="3037" priority="2987" stopIfTrue="1">
      <formula>$A27&lt;1</formula>
    </cfRule>
  </conditionalFormatting>
  <conditionalFormatting sqref="T33:T37">
    <cfRule type="expression" dxfId="3036" priority="2986" stopIfTrue="1">
      <formula>$A33&lt;1</formula>
    </cfRule>
  </conditionalFormatting>
  <conditionalFormatting sqref="T27:T45">
    <cfRule type="expression" dxfId="3035" priority="2985" stopIfTrue="1">
      <formula>$A27&lt;1</formula>
    </cfRule>
  </conditionalFormatting>
  <conditionalFormatting sqref="T33:T37">
    <cfRule type="expression" dxfId="3034" priority="2984" stopIfTrue="1">
      <formula>$A33&lt;1</formula>
    </cfRule>
  </conditionalFormatting>
  <conditionalFormatting sqref="T27:T45">
    <cfRule type="expression" dxfId="3033" priority="2983" stopIfTrue="1">
      <formula>$A27&lt;1</formula>
    </cfRule>
  </conditionalFormatting>
  <conditionalFormatting sqref="T33:T37">
    <cfRule type="expression" dxfId="3032" priority="2982" stopIfTrue="1">
      <formula>$A33&lt;1</formula>
    </cfRule>
  </conditionalFormatting>
  <conditionalFormatting sqref="T27:T45">
    <cfRule type="expression" dxfId="3031" priority="2981" stopIfTrue="1">
      <formula>$A27&lt;1</formula>
    </cfRule>
  </conditionalFormatting>
  <conditionalFormatting sqref="T33:T37">
    <cfRule type="expression" dxfId="3030" priority="2980" stopIfTrue="1">
      <formula>$A33&lt;1</formula>
    </cfRule>
  </conditionalFormatting>
  <conditionalFormatting sqref="T27:T45">
    <cfRule type="expression" dxfId="3029" priority="2979" stopIfTrue="1">
      <formula>$A27&lt;1</formula>
    </cfRule>
  </conditionalFormatting>
  <conditionalFormatting sqref="T33:T37">
    <cfRule type="expression" dxfId="3028" priority="2978" stopIfTrue="1">
      <formula>$A33&lt;1</formula>
    </cfRule>
  </conditionalFormatting>
  <conditionalFormatting sqref="T27:T45">
    <cfRule type="expression" dxfId="3027" priority="2977" stopIfTrue="1">
      <formula>$A27&lt;1</formula>
    </cfRule>
  </conditionalFormatting>
  <conditionalFormatting sqref="T33:T37">
    <cfRule type="expression" dxfId="3026" priority="2976" stopIfTrue="1">
      <formula>$A33&lt;1</formula>
    </cfRule>
  </conditionalFormatting>
  <conditionalFormatting sqref="T27:T45">
    <cfRule type="expression" dxfId="3025" priority="2975" stopIfTrue="1">
      <formula>$A27&lt;1</formula>
    </cfRule>
  </conditionalFormatting>
  <conditionalFormatting sqref="T33:T37">
    <cfRule type="expression" dxfId="3024" priority="2974" stopIfTrue="1">
      <formula>$A33&lt;1</formula>
    </cfRule>
  </conditionalFormatting>
  <conditionalFormatting sqref="T27:T45">
    <cfRule type="expression" dxfId="3023" priority="2973" stopIfTrue="1">
      <formula>$A27&lt;1</formula>
    </cfRule>
  </conditionalFormatting>
  <conditionalFormatting sqref="T33:T37">
    <cfRule type="expression" dxfId="3022" priority="2972" stopIfTrue="1">
      <formula>$A33&lt;1</formula>
    </cfRule>
  </conditionalFormatting>
  <conditionalFormatting sqref="T27:T45">
    <cfRule type="expression" dxfId="3021" priority="2971" stopIfTrue="1">
      <formula>$A27&lt;1</formula>
    </cfRule>
  </conditionalFormatting>
  <conditionalFormatting sqref="T33:T37">
    <cfRule type="expression" dxfId="3020" priority="2970" stopIfTrue="1">
      <formula>$A33&lt;1</formula>
    </cfRule>
  </conditionalFormatting>
  <conditionalFormatting sqref="T27:T45">
    <cfRule type="expression" dxfId="3019" priority="2969" stopIfTrue="1">
      <formula>$A27&lt;1</formula>
    </cfRule>
  </conditionalFormatting>
  <conditionalFormatting sqref="T33:T37">
    <cfRule type="expression" dxfId="3018" priority="2968" stopIfTrue="1">
      <formula>$A33&lt;1</formula>
    </cfRule>
  </conditionalFormatting>
  <conditionalFormatting sqref="T27:T45">
    <cfRule type="expression" dxfId="3017" priority="2967" stopIfTrue="1">
      <formula>$A27&lt;1</formula>
    </cfRule>
  </conditionalFormatting>
  <conditionalFormatting sqref="T33:T37">
    <cfRule type="expression" dxfId="3016" priority="2966" stopIfTrue="1">
      <formula>$A33&lt;1</formula>
    </cfRule>
  </conditionalFormatting>
  <conditionalFormatting sqref="T27:T45">
    <cfRule type="expression" dxfId="3015" priority="2965" stopIfTrue="1">
      <formula>$A27&lt;1</formula>
    </cfRule>
  </conditionalFormatting>
  <conditionalFormatting sqref="T33:T37">
    <cfRule type="expression" dxfId="3014" priority="2964" stopIfTrue="1">
      <formula>$A33&lt;1</formula>
    </cfRule>
  </conditionalFormatting>
  <conditionalFormatting sqref="T27:T45">
    <cfRule type="expression" dxfId="3013" priority="2963" stopIfTrue="1">
      <formula>$A27&lt;1</formula>
    </cfRule>
  </conditionalFormatting>
  <conditionalFormatting sqref="T33:T37">
    <cfRule type="expression" dxfId="3012" priority="2962" stopIfTrue="1">
      <formula>$A33&lt;1</formula>
    </cfRule>
  </conditionalFormatting>
  <conditionalFormatting sqref="T27:T45">
    <cfRule type="expression" dxfId="3011" priority="2961" stopIfTrue="1">
      <formula>$A27&lt;1</formula>
    </cfRule>
  </conditionalFormatting>
  <conditionalFormatting sqref="T33:T37">
    <cfRule type="expression" dxfId="3010" priority="2960" stopIfTrue="1">
      <formula>$A33&lt;1</formula>
    </cfRule>
  </conditionalFormatting>
  <conditionalFormatting sqref="T27:T45">
    <cfRule type="expression" dxfId="3009" priority="2959" stopIfTrue="1">
      <formula>$A27&lt;1</formula>
    </cfRule>
  </conditionalFormatting>
  <conditionalFormatting sqref="T33:T37">
    <cfRule type="expression" dxfId="3008" priority="2958" stopIfTrue="1">
      <formula>$A33&lt;1</formula>
    </cfRule>
  </conditionalFormatting>
  <conditionalFormatting sqref="T27:T45">
    <cfRule type="expression" dxfId="3007" priority="2957" stopIfTrue="1">
      <formula>$A27&lt;1</formula>
    </cfRule>
  </conditionalFormatting>
  <conditionalFormatting sqref="T33:T37">
    <cfRule type="expression" dxfId="3006" priority="2956" stopIfTrue="1">
      <formula>$A33&lt;1</formula>
    </cfRule>
  </conditionalFormatting>
  <conditionalFormatting sqref="T27:T45">
    <cfRule type="expression" dxfId="3005" priority="2955" stopIfTrue="1">
      <formula>$A27&lt;1</formula>
    </cfRule>
  </conditionalFormatting>
  <conditionalFormatting sqref="T33:T37">
    <cfRule type="expression" dxfId="3004" priority="2954" stopIfTrue="1">
      <formula>$A33&lt;1</formula>
    </cfRule>
  </conditionalFormatting>
  <conditionalFormatting sqref="T27:T45">
    <cfRule type="expression" dxfId="3003" priority="2953" stopIfTrue="1">
      <formula>$A27&lt;1</formula>
    </cfRule>
  </conditionalFormatting>
  <conditionalFormatting sqref="T33:T37">
    <cfRule type="expression" dxfId="3002" priority="2952" stopIfTrue="1">
      <formula>$A33&lt;1</formula>
    </cfRule>
  </conditionalFormatting>
  <conditionalFormatting sqref="T27:T45">
    <cfRule type="expression" dxfId="3001" priority="2951" stopIfTrue="1">
      <formula>$A27&lt;1</formula>
    </cfRule>
  </conditionalFormatting>
  <conditionalFormatting sqref="T33:T37">
    <cfRule type="expression" dxfId="3000" priority="2950" stopIfTrue="1">
      <formula>$A33&lt;1</formula>
    </cfRule>
  </conditionalFormatting>
  <conditionalFormatting sqref="T27:T45">
    <cfRule type="expression" dxfId="2999" priority="2949" stopIfTrue="1">
      <formula>$A27&lt;1</formula>
    </cfRule>
  </conditionalFormatting>
  <conditionalFormatting sqref="T33:T37">
    <cfRule type="expression" dxfId="2998" priority="2948" stopIfTrue="1">
      <formula>$A33&lt;1</formula>
    </cfRule>
  </conditionalFormatting>
  <conditionalFormatting sqref="T27:T45">
    <cfRule type="expression" dxfId="2997" priority="2947" stopIfTrue="1">
      <formula>$A27&lt;1</formula>
    </cfRule>
  </conditionalFormatting>
  <conditionalFormatting sqref="T33:T37">
    <cfRule type="expression" dxfId="2996" priority="2946" stopIfTrue="1">
      <formula>$A33&lt;1</formula>
    </cfRule>
  </conditionalFormatting>
  <conditionalFormatting sqref="T27:T45">
    <cfRule type="expression" dxfId="2995" priority="2945" stopIfTrue="1">
      <formula>$A27&lt;1</formula>
    </cfRule>
  </conditionalFormatting>
  <conditionalFormatting sqref="T33:T37">
    <cfRule type="expression" dxfId="2994" priority="2944" stopIfTrue="1">
      <formula>$A33&lt;1</formula>
    </cfRule>
  </conditionalFormatting>
  <conditionalFormatting sqref="T27:T45">
    <cfRule type="expression" dxfId="2993" priority="2943" stopIfTrue="1">
      <formula>$A27&lt;1</formula>
    </cfRule>
  </conditionalFormatting>
  <conditionalFormatting sqref="T33:T37">
    <cfRule type="expression" dxfId="2992" priority="2942" stopIfTrue="1">
      <formula>$A33&lt;1</formula>
    </cfRule>
  </conditionalFormatting>
  <conditionalFormatting sqref="T27:T45">
    <cfRule type="expression" dxfId="2991" priority="2941" stopIfTrue="1">
      <formula>$A27&lt;1</formula>
    </cfRule>
  </conditionalFormatting>
  <conditionalFormatting sqref="T33:T37">
    <cfRule type="expression" dxfId="2990" priority="2940" stopIfTrue="1">
      <formula>$A33&lt;1</formula>
    </cfRule>
  </conditionalFormatting>
  <conditionalFormatting sqref="T27:T45">
    <cfRule type="expression" dxfId="2989" priority="2939" stopIfTrue="1">
      <formula>$A27&lt;1</formula>
    </cfRule>
  </conditionalFormatting>
  <conditionalFormatting sqref="T33:T37">
    <cfRule type="expression" dxfId="2988" priority="2938" stopIfTrue="1">
      <formula>$A33&lt;1</formula>
    </cfRule>
  </conditionalFormatting>
  <conditionalFormatting sqref="T27:T45">
    <cfRule type="expression" dxfId="2987" priority="2937" stopIfTrue="1">
      <formula>$A27&lt;1</formula>
    </cfRule>
  </conditionalFormatting>
  <conditionalFormatting sqref="T33:T37">
    <cfRule type="expression" dxfId="2986" priority="2936" stopIfTrue="1">
      <formula>$A33&lt;1</formula>
    </cfRule>
  </conditionalFormatting>
  <conditionalFormatting sqref="T27:T45">
    <cfRule type="expression" dxfId="2985" priority="2935" stopIfTrue="1">
      <formula>$A27&lt;1</formula>
    </cfRule>
  </conditionalFormatting>
  <conditionalFormatting sqref="T33:T37">
    <cfRule type="expression" dxfId="2984" priority="2934" stopIfTrue="1">
      <formula>$A33&lt;1</formula>
    </cfRule>
  </conditionalFormatting>
  <conditionalFormatting sqref="T27:T45">
    <cfRule type="expression" dxfId="2983" priority="2933" stopIfTrue="1">
      <formula>$A27&lt;1</formula>
    </cfRule>
  </conditionalFormatting>
  <conditionalFormatting sqref="T33:T37">
    <cfRule type="expression" dxfId="2982" priority="2932" stopIfTrue="1">
      <formula>$A33&lt;1</formula>
    </cfRule>
  </conditionalFormatting>
  <conditionalFormatting sqref="T27:T45">
    <cfRule type="expression" dxfId="2981" priority="2931" stopIfTrue="1">
      <formula>$A27&lt;1</formula>
    </cfRule>
  </conditionalFormatting>
  <conditionalFormatting sqref="T33:T37">
    <cfRule type="expression" dxfId="2980" priority="2930" stopIfTrue="1">
      <formula>$A33&lt;1</formula>
    </cfRule>
  </conditionalFormatting>
  <conditionalFormatting sqref="T27:T45">
    <cfRule type="expression" dxfId="2979" priority="2929" stopIfTrue="1">
      <formula>$A27&lt;1</formula>
    </cfRule>
  </conditionalFormatting>
  <conditionalFormatting sqref="T33:T37">
    <cfRule type="expression" dxfId="2978" priority="2928" stopIfTrue="1">
      <formula>$A33&lt;1</formula>
    </cfRule>
  </conditionalFormatting>
  <conditionalFormatting sqref="T27:T45">
    <cfRule type="expression" dxfId="2977" priority="2927" stopIfTrue="1">
      <formula>$A27&lt;1</formula>
    </cfRule>
  </conditionalFormatting>
  <conditionalFormatting sqref="T33:T37">
    <cfRule type="expression" dxfId="2976" priority="2926" stopIfTrue="1">
      <formula>$A33&lt;1</formula>
    </cfRule>
  </conditionalFormatting>
  <conditionalFormatting sqref="T27:T45">
    <cfRule type="expression" dxfId="2975" priority="2925" stopIfTrue="1">
      <formula>$A27&lt;1</formula>
    </cfRule>
  </conditionalFormatting>
  <conditionalFormatting sqref="T33:T37">
    <cfRule type="expression" dxfId="2974" priority="2924" stopIfTrue="1">
      <formula>$A33&lt;1</formula>
    </cfRule>
  </conditionalFormatting>
  <conditionalFormatting sqref="T27:T45">
    <cfRule type="expression" dxfId="2973" priority="2923" stopIfTrue="1">
      <formula>$A27&lt;1</formula>
    </cfRule>
  </conditionalFormatting>
  <conditionalFormatting sqref="T33:T37">
    <cfRule type="expression" dxfId="2972" priority="2922" stopIfTrue="1">
      <formula>$A33&lt;1</formula>
    </cfRule>
  </conditionalFormatting>
  <conditionalFormatting sqref="T27:T45">
    <cfRule type="expression" dxfId="2971" priority="2921" stopIfTrue="1">
      <formula>$A27&lt;1</formula>
    </cfRule>
  </conditionalFormatting>
  <conditionalFormatting sqref="T33:T37">
    <cfRule type="expression" dxfId="2970" priority="2920" stopIfTrue="1">
      <formula>$A33&lt;1</formula>
    </cfRule>
  </conditionalFormatting>
  <conditionalFormatting sqref="T27:T45">
    <cfRule type="expression" dxfId="2969" priority="2919" stopIfTrue="1">
      <formula>$A27&lt;1</formula>
    </cfRule>
  </conditionalFormatting>
  <conditionalFormatting sqref="T33:T37">
    <cfRule type="expression" dxfId="2968" priority="2918" stopIfTrue="1">
      <formula>$A33&lt;1</formula>
    </cfRule>
  </conditionalFormatting>
  <conditionalFormatting sqref="T27:T45">
    <cfRule type="expression" dxfId="2967" priority="2917" stopIfTrue="1">
      <formula>$A27&lt;1</formula>
    </cfRule>
  </conditionalFormatting>
  <conditionalFormatting sqref="T33:T37">
    <cfRule type="expression" dxfId="2966" priority="2916" stopIfTrue="1">
      <formula>$A33&lt;1</formula>
    </cfRule>
  </conditionalFormatting>
  <conditionalFormatting sqref="T27:T45">
    <cfRule type="expression" dxfId="2965" priority="2915" stopIfTrue="1">
      <formula>$A27&lt;1</formula>
    </cfRule>
  </conditionalFormatting>
  <conditionalFormatting sqref="T33:T37">
    <cfRule type="expression" dxfId="2964" priority="2914" stopIfTrue="1">
      <formula>$A33&lt;1</formula>
    </cfRule>
  </conditionalFormatting>
  <conditionalFormatting sqref="T27:T45">
    <cfRule type="expression" dxfId="2963" priority="2913" stopIfTrue="1">
      <formula>$A27&lt;1</formula>
    </cfRule>
  </conditionalFormatting>
  <conditionalFormatting sqref="T33:T37">
    <cfRule type="expression" dxfId="2962" priority="2912" stopIfTrue="1">
      <formula>$A33&lt;1</formula>
    </cfRule>
  </conditionalFormatting>
  <conditionalFormatting sqref="T27:T45">
    <cfRule type="expression" dxfId="2961" priority="2911" stopIfTrue="1">
      <formula>$A27&lt;1</formula>
    </cfRule>
  </conditionalFormatting>
  <conditionalFormatting sqref="T33:T37">
    <cfRule type="expression" dxfId="2960" priority="2910" stopIfTrue="1">
      <formula>$A33&lt;1</formula>
    </cfRule>
  </conditionalFormatting>
  <conditionalFormatting sqref="T27:T45">
    <cfRule type="expression" dxfId="2959" priority="2909" stopIfTrue="1">
      <formula>$A27&lt;1</formula>
    </cfRule>
  </conditionalFormatting>
  <conditionalFormatting sqref="T33:T37">
    <cfRule type="expression" dxfId="2958" priority="2908" stopIfTrue="1">
      <formula>$A33&lt;1</formula>
    </cfRule>
  </conditionalFormatting>
  <conditionalFormatting sqref="T27:T45">
    <cfRule type="expression" dxfId="2957" priority="2907" stopIfTrue="1">
      <formula>$A27&lt;1</formula>
    </cfRule>
  </conditionalFormatting>
  <conditionalFormatting sqref="T33:T37">
    <cfRule type="expression" dxfId="2956" priority="2906" stopIfTrue="1">
      <formula>$A33&lt;1</formula>
    </cfRule>
  </conditionalFormatting>
  <conditionalFormatting sqref="T27:T45">
    <cfRule type="expression" dxfId="2955" priority="2905" stopIfTrue="1">
      <formula>$A27&lt;1</formula>
    </cfRule>
  </conditionalFormatting>
  <conditionalFormatting sqref="T33:T37">
    <cfRule type="expression" dxfId="2954" priority="2904" stopIfTrue="1">
      <formula>$A33&lt;1</formula>
    </cfRule>
  </conditionalFormatting>
  <conditionalFormatting sqref="T27:T45">
    <cfRule type="expression" dxfId="2953" priority="2903" stopIfTrue="1">
      <formula>$A27&lt;1</formula>
    </cfRule>
  </conditionalFormatting>
  <conditionalFormatting sqref="T33:T37">
    <cfRule type="expression" dxfId="2952" priority="2902" stopIfTrue="1">
      <formula>$A33&lt;1</formula>
    </cfRule>
  </conditionalFormatting>
  <conditionalFormatting sqref="T27:T45">
    <cfRule type="expression" dxfId="2951" priority="2901" stopIfTrue="1">
      <formula>$A27&lt;1</formula>
    </cfRule>
  </conditionalFormatting>
  <conditionalFormatting sqref="T33:T37">
    <cfRule type="expression" dxfId="2950" priority="2900" stopIfTrue="1">
      <formula>$A33&lt;1</formula>
    </cfRule>
  </conditionalFormatting>
  <conditionalFormatting sqref="T27:T45">
    <cfRule type="expression" dxfId="2949" priority="2899" stopIfTrue="1">
      <formula>$A27&lt;1</formula>
    </cfRule>
  </conditionalFormatting>
  <conditionalFormatting sqref="T33:T37">
    <cfRule type="expression" dxfId="2948" priority="2898" stopIfTrue="1">
      <formula>$A33&lt;1</formula>
    </cfRule>
  </conditionalFormatting>
  <conditionalFormatting sqref="T27:T45">
    <cfRule type="expression" dxfId="2947" priority="2897" stopIfTrue="1">
      <formula>$A27&lt;1</formula>
    </cfRule>
  </conditionalFormatting>
  <conditionalFormatting sqref="T33:T37">
    <cfRule type="expression" dxfId="2946" priority="2896" stopIfTrue="1">
      <formula>$A33&lt;1</formula>
    </cfRule>
  </conditionalFormatting>
  <conditionalFormatting sqref="T27:T45">
    <cfRule type="expression" dxfId="2945" priority="2895" stopIfTrue="1">
      <formula>$A27&lt;1</formula>
    </cfRule>
  </conditionalFormatting>
  <conditionalFormatting sqref="T33:T37">
    <cfRule type="expression" dxfId="2944" priority="2894" stopIfTrue="1">
      <formula>$A33&lt;1</formula>
    </cfRule>
  </conditionalFormatting>
  <conditionalFormatting sqref="T27:T45">
    <cfRule type="expression" dxfId="2943" priority="2893" stopIfTrue="1">
      <formula>$A27&lt;1</formula>
    </cfRule>
  </conditionalFormatting>
  <conditionalFormatting sqref="T33:T37">
    <cfRule type="expression" dxfId="2942" priority="2892" stopIfTrue="1">
      <formula>$A33&lt;1</formula>
    </cfRule>
  </conditionalFormatting>
  <conditionalFormatting sqref="T27:T45">
    <cfRule type="expression" dxfId="2941" priority="2891" stopIfTrue="1">
      <formula>$A27&lt;1</formula>
    </cfRule>
  </conditionalFormatting>
  <conditionalFormatting sqref="T33:T37">
    <cfRule type="expression" dxfId="2940" priority="2890" stopIfTrue="1">
      <formula>$A33&lt;1</formula>
    </cfRule>
  </conditionalFormatting>
  <conditionalFormatting sqref="T27:T45">
    <cfRule type="expression" dxfId="2939" priority="2889" stopIfTrue="1">
      <formula>$A27&lt;1</formula>
    </cfRule>
  </conditionalFormatting>
  <conditionalFormatting sqref="T33:T37">
    <cfRule type="expression" dxfId="2938" priority="2888" stopIfTrue="1">
      <formula>$A33&lt;1</formula>
    </cfRule>
  </conditionalFormatting>
  <conditionalFormatting sqref="T27:T45">
    <cfRule type="expression" dxfId="2937" priority="2887" stopIfTrue="1">
      <formula>$A27&lt;1</formula>
    </cfRule>
  </conditionalFormatting>
  <conditionalFormatting sqref="T27:T45">
    <cfRule type="expression" dxfId="2936" priority="2886" stopIfTrue="1">
      <formula>$A27&lt;1</formula>
    </cfRule>
  </conditionalFormatting>
  <conditionalFormatting sqref="T27:T45">
    <cfRule type="expression" dxfId="2935" priority="2885" stopIfTrue="1">
      <formula>$A27&lt;1</formula>
    </cfRule>
  </conditionalFormatting>
  <conditionalFormatting sqref="T27:T45">
    <cfRule type="expression" dxfId="2934" priority="2884" stopIfTrue="1">
      <formula>$A27&lt;1</formula>
    </cfRule>
  </conditionalFormatting>
  <conditionalFormatting sqref="A27:A124 B26:B127 W126:W130 AC26:AC126 AD27:AG124 Q33:R125 S125 U26:W125 AF26 Y26:Y124 X27:X124 Z27:AB124 T33:T124 F26:G26 C27:P124">
    <cfRule type="expression" dxfId="2933" priority="2883" stopIfTrue="1">
      <formula>$A26&lt;1</formula>
    </cfRule>
  </conditionalFormatting>
  <conditionalFormatting sqref="A26 AD26:AG26 X26:AB26 F27:F119 N27:P122 Q27:R121 AF27:AF121 Y27:Y124 C26:T26 S27:S124 G27:G45">
    <cfRule type="expression" dxfId="2932" priority="2882" stopIfTrue="1">
      <formula>$A26&lt;1</formula>
    </cfRule>
  </conditionalFormatting>
  <conditionalFormatting sqref="T27:T45">
    <cfRule type="expression" dxfId="2931" priority="2881" stopIfTrue="1">
      <formula>$A27&lt;1</formula>
    </cfRule>
  </conditionalFormatting>
  <conditionalFormatting sqref="N26:P122">
    <cfRule type="expression" dxfId="2930" priority="2880" stopIfTrue="1">
      <formula>$A26&lt;1</formula>
    </cfRule>
  </conditionalFormatting>
  <conditionalFormatting sqref="F29">
    <cfRule type="expression" dxfId="2929" priority="2879" stopIfTrue="1">
      <formula>$A29&lt;1</formula>
    </cfRule>
  </conditionalFormatting>
  <conditionalFormatting sqref="A27:A124 B26:B127 W126:W130 AC26:AC126 AD27:AG124 Q33:R125 S125 U26:W125 AF26 Y26:Y124 X27:X124 Z27:AB124 T33:T124 F26:G26 C27:P124">
    <cfRule type="expression" dxfId="2928" priority="2878" stopIfTrue="1">
      <formula>$A26&lt;1</formula>
    </cfRule>
  </conditionalFormatting>
  <conditionalFormatting sqref="A26 AD26:AG26 X26:AB26 F27:F119 N27:P122 Q27:R121 AF27:AF121 Y27:Y124 C26:T26 S27:S124 G27:G45">
    <cfRule type="expression" dxfId="2927" priority="2877" stopIfTrue="1">
      <formula>$A26&lt;1</formula>
    </cfRule>
  </conditionalFormatting>
  <conditionalFormatting sqref="T27:T45">
    <cfRule type="expression" dxfId="2926" priority="2876" stopIfTrue="1">
      <formula>$A27&lt;1</formula>
    </cfRule>
  </conditionalFormatting>
  <conditionalFormatting sqref="N26:P122">
    <cfRule type="expression" dxfId="2925" priority="2875" stopIfTrue="1">
      <formula>$A26&lt;1</formula>
    </cfRule>
  </conditionalFormatting>
  <conditionalFormatting sqref="F29">
    <cfRule type="expression" dxfId="2924" priority="2874" stopIfTrue="1">
      <formula>$A29&lt;1</formula>
    </cfRule>
  </conditionalFormatting>
  <conditionalFormatting sqref="C26">
    <cfRule type="expression" dxfId="2923" priority="2873" stopIfTrue="1">
      <formula>$A26&lt;1</formula>
    </cfRule>
  </conditionalFormatting>
  <conditionalFormatting sqref="C26">
    <cfRule type="expression" dxfId="2922" priority="2872" stopIfTrue="1">
      <formula>$A26&lt;1</formula>
    </cfRule>
  </conditionalFormatting>
  <conditionalFormatting sqref="D26">
    <cfRule type="expression" dxfId="2921" priority="2871" stopIfTrue="1">
      <formula>$A26&lt;1</formula>
    </cfRule>
  </conditionalFormatting>
  <conditionalFormatting sqref="D26">
    <cfRule type="expression" dxfId="2920" priority="2870" stopIfTrue="1">
      <formula>$A26&lt;1</formula>
    </cfRule>
  </conditionalFormatting>
  <conditionalFormatting sqref="E26">
    <cfRule type="expression" dxfId="2919" priority="2869" stopIfTrue="1">
      <formula>$A26&lt;1</formula>
    </cfRule>
  </conditionalFormatting>
  <conditionalFormatting sqref="E26">
    <cfRule type="expression" dxfId="2918" priority="2868" stopIfTrue="1">
      <formula>$A26&lt;1</formula>
    </cfRule>
  </conditionalFormatting>
  <conditionalFormatting sqref="E27">
    <cfRule type="expression" dxfId="2917" priority="2867" stopIfTrue="1">
      <formula>$A27&lt;1</formula>
    </cfRule>
  </conditionalFormatting>
  <conditionalFormatting sqref="E27">
    <cfRule type="expression" dxfId="2916" priority="2866" stopIfTrue="1">
      <formula>$A27&lt;1</formula>
    </cfRule>
  </conditionalFormatting>
  <conditionalFormatting sqref="E27">
    <cfRule type="expression" dxfId="2915" priority="2865" stopIfTrue="1">
      <formula>$A27&lt;1</formula>
    </cfRule>
  </conditionalFormatting>
  <conditionalFormatting sqref="E27">
    <cfRule type="expression" dxfId="2914" priority="2864" stopIfTrue="1">
      <formula>$A27&lt;1</formula>
    </cfRule>
  </conditionalFormatting>
  <conditionalFormatting sqref="E28:E122">
    <cfRule type="expression" dxfId="2913" priority="2863" stopIfTrue="1">
      <formula>$A28&lt;1</formula>
    </cfRule>
  </conditionalFormatting>
  <conditionalFormatting sqref="E28:E122">
    <cfRule type="expression" dxfId="2912" priority="2862" stopIfTrue="1">
      <formula>$A28&lt;1</formula>
    </cfRule>
  </conditionalFormatting>
  <conditionalFormatting sqref="E28:E122">
    <cfRule type="expression" dxfId="2911" priority="2861" stopIfTrue="1">
      <formula>$A28&lt;1</formula>
    </cfRule>
  </conditionalFormatting>
  <conditionalFormatting sqref="E28:E122">
    <cfRule type="expression" dxfId="2910" priority="2860" stopIfTrue="1">
      <formula>$A28&lt;1</formula>
    </cfRule>
  </conditionalFormatting>
  <conditionalFormatting sqref="A27:A124 B26:B127 W126:W130 AC26:AC126 AD27:AG124 Q33:R125 S125 U26:W125 AF26 Y26:Y124 X27:X124 Z27:AB124 T33:T124 F26:G26 C27:P124">
    <cfRule type="expression" dxfId="2909" priority="2859" stopIfTrue="1">
      <formula>$A26&lt;1</formula>
    </cfRule>
  </conditionalFormatting>
  <conditionalFormatting sqref="A26 AD26:AG26 X26:AB26 F27:F119 N27:P122 Q27:R121 AF27:AF121 Y27:Y124 C26:T26 S27:S124 G27:G45">
    <cfRule type="expression" dxfId="2908" priority="2858" stopIfTrue="1">
      <formula>$A26&lt;1</formula>
    </cfRule>
  </conditionalFormatting>
  <conditionalFormatting sqref="T27:T45">
    <cfRule type="expression" dxfId="2907" priority="2857" stopIfTrue="1">
      <formula>$A27&lt;1</formula>
    </cfRule>
  </conditionalFormatting>
  <conditionalFormatting sqref="N26:P122">
    <cfRule type="expression" dxfId="2906" priority="2856" stopIfTrue="1">
      <formula>$A26&lt;1</formula>
    </cfRule>
  </conditionalFormatting>
  <conditionalFormatting sqref="F29">
    <cfRule type="expression" dxfId="2905" priority="2855" stopIfTrue="1">
      <formula>$A29&lt;1</formula>
    </cfRule>
  </conditionalFormatting>
  <conditionalFormatting sqref="A27:A124 B26:B127 W126:W130 AC26:AC126 AD27:AG124 Q33:R125 S125 U26:W125 AF26 Y26:Y124 X27:X124 Z27:AB124 T33:T124 F26:G26 C27:P124">
    <cfRule type="expression" dxfId="2904" priority="2854" stopIfTrue="1">
      <formula>$A26&lt;1</formula>
    </cfRule>
  </conditionalFormatting>
  <conditionalFormatting sqref="A26 AD26:AG26 X26:AB26 F27:F119 N27:P122 Q27:R121 AF27:AF121 Y27:Y124 C26:T26 S27:S124 G27:G45">
    <cfRule type="expression" dxfId="2903" priority="2853" stopIfTrue="1">
      <formula>$A26&lt;1</formula>
    </cfRule>
  </conditionalFormatting>
  <conditionalFormatting sqref="T27:T45">
    <cfRule type="expression" dxfId="2902" priority="2852" stopIfTrue="1">
      <formula>$A27&lt;1</formula>
    </cfRule>
  </conditionalFormatting>
  <conditionalFormatting sqref="N26:P122">
    <cfRule type="expression" dxfId="2901" priority="2851" stopIfTrue="1">
      <formula>$A26&lt;1</formula>
    </cfRule>
  </conditionalFormatting>
  <conditionalFormatting sqref="F29">
    <cfRule type="expression" dxfId="2900" priority="2850" stopIfTrue="1">
      <formula>$A29&lt;1</formula>
    </cfRule>
  </conditionalFormatting>
  <conditionalFormatting sqref="C26">
    <cfRule type="expression" dxfId="2899" priority="2849" stopIfTrue="1">
      <formula>$A26&lt;1</formula>
    </cfRule>
  </conditionalFormatting>
  <conditionalFormatting sqref="C26">
    <cfRule type="expression" dxfId="2898" priority="2848" stopIfTrue="1">
      <formula>$A26&lt;1</formula>
    </cfRule>
  </conditionalFormatting>
  <conditionalFormatting sqref="D26">
    <cfRule type="expression" dxfId="2897" priority="2847" stopIfTrue="1">
      <formula>$A26&lt;1</formula>
    </cfRule>
  </conditionalFormatting>
  <conditionalFormatting sqref="D26">
    <cfRule type="expression" dxfId="2896" priority="2846" stopIfTrue="1">
      <formula>$A26&lt;1</formula>
    </cfRule>
  </conditionalFormatting>
  <conditionalFormatting sqref="E26">
    <cfRule type="expression" dxfId="2895" priority="2845" stopIfTrue="1">
      <formula>$A26&lt;1</formula>
    </cfRule>
  </conditionalFormatting>
  <conditionalFormatting sqref="E26">
    <cfRule type="expression" dxfId="2894" priority="2844" stopIfTrue="1">
      <formula>$A26&lt;1</formula>
    </cfRule>
  </conditionalFormatting>
  <conditionalFormatting sqref="E27">
    <cfRule type="expression" dxfId="2893" priority="2843" stopIfTrue="1">
      <formula>$A27&lt;1</formula>
    </cfRule>
  </conditionalFormatting>
  <conditionalFormatting sqref="E27">
    <cfRule type="expression" dxfId="2892" priority="2842" stopIfTrue="1">
      <formula>$A27&lt;1</formula>
    </cfRule>
  </conditionalFormatting>
  <conditionalFormatting sqref="E27">
    <cfRule type="expression" dxfId="2891" priority="2841" stopIfTrue="1">
      <formula>$A27&lt;1</formula>
    </cfRule>
  </conditionalFormatting>
  <conditionalFormatting sqref="E27">
    <cfRule type="expression" dxfId="2890" priority="2840" stopIfTrue="1">
      <formula>$A27&lt;1</formula>
    </cfRule>
  </conditionalFormatting>
  <conditionalFormatting sqref="E28:E122">
    <cfRule type="expression" dxfId="2889" priority="2839" stopIfTrue="1">
      <formula>$A28&lt;1</formula>
    </cfRule>
  </conditionalFormatting>
  <conditionalFormatting sqref="E28:E122">
    <cfRule type="expression" dxfId="2888" priority="2838" stopIfTrue="1">
      <formula>$A28&lt;1</formula>
    </cfRule>
  </conditionalFormatting>
  <conditionalFormatting sqref="E28:E122">
    <cfRule type="expression" dxfId="2887" priority="2837" stopIfTrue="1">
      <formula>$A28&lt;1</formula>
    </cfRule>
  </conditionalFormatting>
  <conditionalFormatting sqref="E28:E122">
    <cfRule type="expression" dxfId="2886" priority="2836" stopIfTrue="1">
      <formula>$A28&lt;1</formula>
    </cfRule>
  </conditionalFormatting>
  <conditionalFormatting sqref="A27:A124 B26:B127 W126:W130 AC26:AC126 AD27:AG124 Q33:R125 S125 U26:W125 AF26 Y26:Y124 X27:X124 Z27:AB124 T33:T124 F26:G26 C27:P124">
    <cfRule type="expression" dxfId="2885" priority="2835" stopIfTrue="1">
      <formula>$A26&lt;1</formula>
    </cfRule>
  </conditionalFormatting>
  <conditionalFormatting sqref="A26 AD26:AG26 X26:AB26 F27:F119 N27:P122 Q27:R121 AF27:AF121 Y27:Y124 C26:T26 S27:S124 G27:G45">
    <cfRule type="expression" dxfId="2884" priority="2834" stopIfTrue="1">
      <formula>$A26&lt;1</formula>
    </cfRule>
  </conditionalFormatting>
  <conditionalFormatting sqref="T27:T45">
    <cfRule type="expression" dxfId="2883" priority="2833" stopIfTrue="1">
      <formula>$A27&lt;1</formula>
    </cfRule>
  </conditionalFormatting>
  <conditionalFormatting sqref="N26:P122">
    <cfRule type="expression" dxfId="2882" priority="2832" stopIfTrue="1">
      <formula>$A26&lt;1</formula>
    </cfRule>
  </conditionalFormatting>
  <conditionalFormatting sqref="F29">
    <cfRule type="expression" dxfId="2881" priority="2831" stopIfTrue="1">
      <formula>$A29&lt;1</formula>
    </cfRule>
  </conditionalFormatting>
  <conditionalFormatting sqref="A27:A124 B26:B127 W126:W130 AC26:AC126 AD27:AG124 Q33:R125 S125 U26:W125 AF26 Y26:Y124 X27:X124 Z27:AB124 T33:T124 F26:G26 C27:P124">
    <cfRule type="expression" dxfId="2880" priority="2830" stopIfTrue="1">
      <formula>$A26&lt;1</formula>
    </cfRule>
  </conditionalFormatting>
  <conditionalFormatting sqref="A26 AD26:AG26 X26:AB26 F27:F119 N27:P122 Q27:R121 AF27:AF121 Y27:Y124 C26:T26 S27:S124 G27:G45">
    <cfRule type="expression" dxfId="2879" priority="2829" stopIfTrue="1">
      <formula>$A26&lt;1</formula>
    </cfRule>
  </conditionalFormatting>
  <conditionalFormatting sqref="T27:T45">
    <cfRule type="expression" dxfId="2878" priority="2828" stopIfTrue="1">
      <formula>$A27&lt;1</formula>
    </cfRule>
  </conditionalFormatting>
  <conditionalFormatting sqref="N26:P122">
    <cfRule type="expression" dxfId="2877" priority="2827" stopIfTrue="1">
      <formula>$A26&lt;1</formula>
    </cfRule>
  </conditionalFormatting>
  <conditionalFormatting sqref="F29">
    <cfRule type="expression" dxfId="2876" priority="2826" stopIfTrue="1">
      <formula>$A29&lt;1</formula>
    </cfRule>
  </conditionalFormatting>
  <conditionalFormatting sqref="C26">
    <cfRule type="expression" dxfId="2875" priority="2825" stopIfTrue="1">
      <formula>$A26&lt;1</formula>
    </cfRule>
  </conditionalFormatting>
  <conditionalFormatting sqref="C26">
    <cfRule type="expression" dxfId="2874" priority="2824" stopIfTrue="1">
      <formula>$A26&lt;1</formula>
    </cfRule>
  </conditionalFormatting>
  <conditionalFormatting sqref="D26">
    <cfRule type="expression" dxfId="2873" priority="2823" stopIfTrue="1">
      <formula>$A26&lt;1</formula>
    </cfRule>
  </conditionalFormatting>
  <conditionalFormatting sqref="D26">
    <cfRule type="expression" dxfId="2872" priority="2822" stopIfTrue="1">
      <formula>$A26&lt;1</formula>
    </cfRule>
  </conditionalFormatting>
  <conditionalFormatting sqref="E26">
    <cfRule type="expression" dxfId="2871" priority="2821" stopIfTrue="1">
      <formula>$A26&lt;1</formula>
    </cfRule>
  </conditionalFormatting>
  <conditionalFormatting sqref="E26">
    <cfRule type="expression" dxfId="2870" priority="2820" stopIfTrue="1">
      <formula>$A26&lt;1</formula>
    </cfRule>
  </conditionalFormatting>
  <conditionalFormatting sqref="E27">
    <cfRule type="expression" dxfId="2869" priority="2819" stopIfTrue="1">
      <formula>$A27&lt;1</formula>
    </cfRule>
  </conditionalFormatting>
  <conditionalFormatting sqref="E27">
    <cfRule type="expression" dxfId="2868" priority="2818" stopIfTrue="1">
      <formula>$A27&lt;1</formula>
    </cfRule>
  </conditionalFormatting>
  <conditionalFormatting sqref="E27">
    <cfRule type="expression" dxfId="2867" priority="2817" stopIfTrue="1">
      <formula>$A27&lt;1</formula>
    </cfRule>
  </conditionalFormatting>
  <conditionalFormatting sqref="E27">
    <cfRule type="expression" dxfId="2866" priority="2816" stopIfTrue="1">
      <formula>$A27&lt;1</formula>
    </cfRule>
  </conditionalFormatting>
  <conditionalFormatting sqref="E28:E122">
    <cfRule type="expression" dxfId="2865" priority="2815" stopIfTrue="1">
      <formula>$A28&lt;1</formula>
    </cfRule>
  </conditionalFormatting>
  <conditionalFormatting sqref="E28:E122">
    <cfRule type="expression" dxfId="2864" priority="2814" stopIfTrue="1">
      <formula>$A28&lt;1</formula>
    </cfRule>
  </conditionalFormatting>
  <conditionalFormatting sqref="E28:E122">
    <cfRule type="expression" dxfId="2863" priority="2813" stopIfTrue="1">
      <formula>$A28&lt;1</formula>
    </cfRule>
  </conditionalFormatting>
  <conditionalFormatting sqref="E28:E122">
    <cfRule type="expression" dxfId="2862" priority="2812" stopIfTrue="1">
      <formula>$A28&lt;1</formula>
    </cfRule>
  </conditionalFormatting>
  <conditionalFormatting sqref="T33:T37">
    <cfRule type="expression" dxfId="2861" priority="2811" stopIfTrue="1">
      <formula>$A33&lt;1</formula>
    </cfRule>
  </conditionalFormatting>
  <conditionalFormatting sqref="T27:T45">
    <cfRule type="expression" dxfId="2860" priority="2810" stopIfTrue="1">
      <formula>$A27&lt;1</formula>
    </cfRule>
  </conditionalFormatting>
  <conditionalFormatting sqref="T33:T37">
    <cfRule type="expression" dxfId="2859" priority="2809" stopIfTrue="1">
      <formula>$A33&lt;1</formula>
    </cfRule>
  </conditionalFormatting>
  <conditionalFormatting sqref="T27:T45">
    <cfRule type="expression" dxfId="2858" priority="2808" stopIfTrue="1">
      <formula>$A27&lt;1</formula>
    </cfRule>
  </conditionalFormatting>
  <conditionalFormatting sqref="T33:T37">
    <cfRule type="expression" dxfId="2857" priority="2807" stopIfTrue="1">
      <formula>$A33&lt;1</formula>
    </cfRule>
  </conditionalFormatting>
  <conditionalFormatting sqref="T27:T45">
    <cfRule type="expression" dxfId="2856" priority="2806" stopIfTrue="1">
      <formula>$A27&lt;1</formula>
    </cfRule>
  </conditionalFormatting>
  <conditionalFormatting sqref="T33:T37">
    <cfRule type="expression" dxfId="2855" priority="2805" stopIfTrue="1">
      <formula>$A33&lt;1</formula>
    </cfRule>
  </conditionalFormatting>
  <conditionalFormatting sqref="T27:T45">
    <cfRule type="expression" dxfId="2854" priority="2804" stopIfTrue="1">
      <formula>$A27&lt;1</formula>
    </cfRule>
  </conditionalFormatting>
  <conditionalFormatting sqref="T33:T37">
    <cfRule type="expression" dxfId="2853" priority="2803" stopIfTrue="1">
      <formula>$A33&lt;1</formula>
    </cfRule>
  </conditionalFormatting>
  <conditionalFormatting sqref="T27:T45">
    <cfRule type="expression" dxfId="2852" priority="2802" stopIfTrue="1">
      <formula>$A27&lt;1</formula>
    </cfRule>
  </conditionalFormatting>
  <conditionalFormatting sqref="T33:T37">
    <cfRule type="expression" dxfId="2851" priority="2801" stopIfTrue="1">
      <formula>$A33&lt;1</formula>
    </cfRule>
  </conditionalFormatting>
  <conditionalFormatting sqref="T27:T45">
    <cfRule type="expression" dxfId="2850" priority="2800" stopIfTrue="1">
      <formula>$A27&lt;1</formula>
    </cfRule>
  </conditionalFormatting>
  <conditionalFormatting sqref="T33:T37">
    <cfRule type="expression" dxfId="2849" priority="2799" stopIfTrue="1">
      <formula>$A33&lt;1</formula>
    </cfRule>
  </conditionalFormatting>
  <conditionalFormatting sqref="T27:T45">
    <cfRule type="expression" dxfId="2848" priority="2798" stopIfTrue="1">
      <formula>$A27&lt;1</formula>
    </cfRule>
  </conditionalFormatting>
  <conditionalFormatting sqref="T33:T37">
    <cfRule type="expression" dxfId="2847" priority="2797" stopIfTrue="1">
      <formula>$A33&lt;1</formula>
    </cfRule>
  </conditionalFormatting>
  <conditionalFormatting sqref="T27:T45">
    <cfRule type="expression" dxfId="2846" priority="2796" stopIfTrue="1">
      <formula>$A27&lt;1</formula>
    </cfRule>
  </conditionalFormatting>
  <conditionalFormatting sqref="T33:T37">
    <cfRule type="expression" dxfId="2845" priority="2795" stopIfTrue="1">
      <formula>$A33&lt;1</formula>
    </cfRule>
  </conditionalFormatting>
  <conditionalFormatting sqref="T27:T45">
    <cfRule type="expression" dxfId="2844" priority="2794" stopIfTrue="1">
      <formula>$A27&lt;1</formula>
    </cfRule>
  </conditionalFormatting>
  <conditionalFormatting sqref="T33:T37">
    <cfRule type="expression" dxfId="2843" priority="2793" stopIfTrue="1">
      <formula>$A33&lt;1</formula>
    </cfRule>
  </conditionalFormatting>
  <conditionalFormatting sqref="T27:T45">
    <cfRule type="expression" dxfId="2842" priority="2792" stopIfTrue="1">
      <formula>$A27&lt;1</formula>
    </cfRule>
  </conditionalFormatting>
  <conditionalFormatting sqref="T33:T37">
    <cfRule type="expression" dxfId="2841" priority="2791" stopIfTrue="1">
      <formula>$A33&lt;1</formula>
    </cfRule>
  </conditionalFormatting>
  <conditionalFormatting sqref="T27:T45">
    <cfRule type="expression" dxfId="2840" priority="2790" stopIfTrue="1">
      <formula>$A27&lt;1</formula>
    </cfRule>
  </conditionalFormatting>
  <conditionalFormatting sqref="T33:T37">
    <cfRule type="expression" dxfId="2839" priority="2789" stopIfTrue="1">
      <formula>$A33&lt;1</formula>
    </cfRule>
  </conditionalFormatting>
  <conditionalFormatting sqref="T27:T45">
    <cfRule type="expression" dxfId="2838" priority="2788" stopIfTrue="1">
      <formula>$A27&lt;1</formula>
    </cfRule>
  </conditionalFormatting>
  <conditionalFormatting sqref="T33:T37">
    <cfRule type="expression" dxfId="2837" priority="2787" stopIfTrue="1">
      <formula>$A33&lt;1</formula>
    </cfRule>
  </conditionalFormatting>
  <conditionalFormatting sqref="T27:T45">
    <cfRule type="expression" dxfId="2836" priority="2786" stopIfTrue="1">
      <formula>$A27&lt;1</formula>
    </cfRule>
  </conditionalFormatting>
  <conditionalFormatting sqref="T33:T37">
    <cfRule type="expression" dxfId="2835" priority="2785" stopIfTrue="1">
      <formula>$A33&lt;1</formula>
    </cfRule>
  </conditionalFormatting>
  <conditionalFormatting sqref="T27:T45">
    <cfRule type="expression" dxfId="2834" priority="2784" stopIfTrue="1">
      <formula>$A27&lt;1</formula>
    </cfRule>
  </conditionalFormatting>
  <conditionalFormatting sqref="T33:T37">
    <cfRule type="expression" dxfId="2833" priority="2783" stopIfTrue="1">
      <formula>$A33&lt;1</formula>
    </cfRule>
  </conditionalFormatting>
  <conditionalFormatting sqref="T27:T45">
    <cfRule type="expression" dxfId="2832" priority="2782" stopIfTrue="1">
      <formula>$A27&lt;1</formula>
    </cfRule>
  </conditionalFormatting>
  <conditionalFormatting sqref="T33:T37">
    <cfRule type="expression" dxfId="2831" priority="2781" stopIfTrue="1">
      <formula>$A33&lt;1</formula>
    </cfRule>
  </conditionalFormatting>
  <conditionalFormatting sqref="T27:T45">
    <cfRule type="expression" dxfId="2830" priority="2780" stopIfTrue="1">
      <formula>$A27&lt;1</formula>
    </cfRule>
  </conditionalFormatting>
  <conditionalFormatting sqref="T33:T37">
    <cfRule type="expression" dxfId="2829" priority="2779" stopIfTrue="1">
      <formula>$A33&lt;1</formula>
    </cfRule>
  </conditionalFormatting>
  <conditionalFormatting sqref="T27:T45">
    <cfRule type="expression" dxfId="2828" priority="2778" stopIfTrue="1">
      <formula>$A27&lt;1</formula>
    </cfRule>
  </conditionalFormatting>
  <conditionalFormatting sqref="T33:T37">
    <cfRule type="expression" dxfId="2827" priority="2777" stopIfTrue="1">
      <formula>$A33&lt;1</formula>
    </cfRule>
  </conditionalFormatting>
  <conditionalFormatting sqref="T27:T45">
    <cfRule type="expression" dxfId="2826" priority="2776" stopIfTrue="1">
      <formula>$A27&lt;1</formula>
    </cfRule>
  </conditionalFormatting>
  <conditionalFormatting sqref="T33:T37">
    <cfRule type="expression" dxfId="2825" priority="2775" stopIfTrue="1">
      <formula>$A33&lt;1</formula>
    </cfRule>
  </conditionalFormatting>
  <conditionalFormatting sqref="T27:T45">
    <cfRule type="expression" dxfId="2824" priority="2774" stopIfTrue="1">
      <formula>$A27&lt;1</formula>
    </cfRule>
  </conditionalFormatting>
  <conditionalFormatting sqref="T33:T37">
    <cfRule type="expression" dxfId="2823" priority="2773" stopIfTrue="1">
      <formula>$A33&lt;1</formula>
    </cfRule>
  </conditionalFormatting>
  <conditionalFormatting sqref="T27:T45">
    <cfRule type="expression" dxfId="2822" priority="2772" stopIfTrue="1">
      <formula>$A27&lt;1</formula>
    </cfRule>
  </conditionalFormatting>
  <conditionalFormatting sqref="T33:T37">
    <cfRule type="expression" dxfId="2821" priority="2771" stopIfTrue="1">
      <formula>$A33&lt;1</formula>
    </cfRule>
  </conditionalFormatting>
  <conditionalFormatting sqref="T27:T45">
    <cfRule type="expression" dxfId="2820" priority="2770" stopIfTrue="1">
      <formula>$A27&lt;1</formula>
    </cfRule>
  </conditionalFormatting>
  <conditionalFormatting sqref="T33:T37">
    <cfRule type="expression" dxfId="2819" priority="2769" stopIfTrue="1">
      <formula>$A33&lt;1</formula>
    </cfRule>
  </conditionalFormatting>
  <conditionalFormatting sqref="T27:T45">
    <cfRule type="expression" dxfId="2818" priority="2768" stopIfTrue="1">
      <formula>$A27&lt;1</formula>
    </cfRule>
  </conditionalFormatting>
  <conditionalFormatting sqref="T33:T37">
    <cfRule type="expression" dxfId="2817" priority="2767" stopIfTrue="1">
      <formula>$A33&lt;1</formula>
    </cfRule>
  </conditionalFormatting>
  <conditionalFormatting sqref="T27:T45">
    <cfRule type="expression" dxfId="2816" priority="2766" stopIfTrue="1">
      <formula>$A27&lt;1</formula>
    </cfRule>
  </conditionalFormatting>
  <conditionalFormatting sqref="T33:T37">
    <cfRule type="expression" dxfId="2815" priority="2765" stopIfTrue="1">
      <formula>$A33&lt;1</formula>
    </cfRule>
  </conditionalFormatting>
  <conditionalFormatting sqref="T27:T45">
    <cfRule type="expression" dxfId="2814" priority="2764" stopIfTrue="1">
      <formula>$A27&lt;1</formula>
    </cfRule>
  </conditionalFormatting>
  <conditionalFormatting sqref="T33:T37">
    <cfRule type="expression" dxfId="2813" priority="2763" stopIfTrue="1">
      <formula>$A33&lt;1</formula>
    </cfRule>
  </conditionalFormatting>
  <conditionalFormatting sqref="T27:T45">
    <cfRule type="expression" dxfId="2812" priority="2762" stopIfTrue="1">
      <formula>$A27&lt;1</formula>
    </cfRule>
  </conditionalFormatting>
  <conditionalFormatting sqref="T33:T37">
    <cfRule type="expression" dxfId="2811" priority="2761" stopIfTrue="1">
      <formula>$A33&lt;1</formula>
    </cfRule>
  </conditionalFormatting>
  <conditionalFormatting sqref="T27:T45">
    <cfRule type="expression" dxfId="2810" priority="2760" stopIfTrue="1">
      <formula>$A27&lt;1</formula>
    </cfRule>
  </conditionalFormatting>
  <conditionalFormatting sqref="T33:T37">
    <cfRule type="expression" dxfId="2809" priority="2759" stopIfTrue="1">
      <formula>$A33&lt;1</formula>
    </cfRule>
  </conditionalFormatting>
  <conditionalFormatting sqref="T27:T45">
    <cfRule type="expression" dxfId="2808" priority="2758" stopIfTrue="1">
      <formula>$A27&lt;1</formula>
    </cfRule>
  </conditionalFormatting>
  <conditionalFormatting sqref="T33:T37">
    <cfRule type="expression" dxfId="2807" priority="2757" stopIfTrue="1">
      <formula>$A33&lt;1</formula>
    </cfRule>
  </conditionalFormatting>
  <conditionalFormatting sqref="T27:T45">
    <cfRule type="expression" dxfId="2806" priority="2756" stopIfTrue="1">
      <formula>$A27&lt;1</formula>
    </cfRule>
  </conditionalFormatting>
  <conditionalFormatting sqref="T33:T37">
    <cfRule type="expression" dxfId="2805" priority="2755" stopIfTrue="1">
      <formula>$A33&lt;1</formula>
    </cfRule>
  </conditionalFormatting>
  <conditionalFormatting sqref="T27:T45">
    <cfRule type="expression" dxfId="2804" priority="2754" stopIfTrue="1">
      <formula>$A27&lt;1</formula>
    </cfRule>
  </conditionalFormatting>
  <conditionalFormatting sqref="T33:T37">
    <cfRule type="expression" dxfId="2803" priority="2753" stopIfTrue="1">
      <formula>$A33&lt;1</formula>
    </cfRule>
  </conditionalFormatting>
  <conditionalFormatting sqref="T27:T45">
    <cfRule type="expression" dxfId="2802" priority="2752" stopIfTrue="1">
      <formula>$A27&lt;1</formula>
    </cfRule>
  </conditionalFormatting>
  <conditionalFormatting sqref="T33:T37">
    <cfRule type="expression" dxfId="2801" priority="2751" stopIfTrue="1">
      <formula>$A33&lt;1</formula>
    </cfRule>
  </conditionalFormatting>
  <conditionalFormatting sqref="T27:T45">
    <cfRule type="expression" dxfId="2800" priority="2750" stopIfTrue="1">
      <formula>$A27&lt;1</formula>
    </cfRule>
  </conditionalFormatting>
  <conditionalFormatting sqref="T33:T37">
    <cfRule type="expression" dxfId="2799" priority="2749" stopIfTrue="1">
      <formula>$A33&lt;1</formula>
    </cfRule>
  </conditionalFormatting>
  <conditionalFormatting sqref="T27:T45">
    <cfRule type="expression" dxfId="2798" priority="2748" stopIfTrue="1">
      <formula>$A27&lt;1</formula>
    </cfRule>
  </conditionalFormatting>
  <conditionalFormatting sqref="T33:T37">
    <cfRule type="expression" dxfId="2797" priority="2747" stopIfTrue="1">
      <formula>$A33&lt;1</formula>
    </cfRule>
  </conditionalFormatting>
  <conditionalFormatting sqref="T27:T45">
    <cfRule type="expression" dxfId="2796" priority="2746" stopIfTrue="1">
      <formula>$A27&lt;1</formula>
    </cfRule>
  </conditionalFormatting>
  <conditionalFormatting sqref="T33:T37">
    <cfRule type="expression" dxfId="2795" priority="2745" stopIfTrue="1">
      <formula>$A33&lt;1</formula>
    </cfRule>
  </conditionalFormatting>
  <conditionalFormatting sqref="T27:T45">
    <cfRule type="expression" dxfId="2794" priority="2744" stopIfTrue="1">
      <formula>$A27&lt;1</formula>
    </cfRule>
  </conditionalFormatting>
  <conditionalFormatting sqref="T33:T37">
    <cfRule type="expression" dxfId="2793" priority="2743" stopIfTrue="1">
      <formula>$A33&lt;1</formula>
    </cfRule>
  </conditionalFormatting>
  <conditionalFormatting sqref="T27:T45">
    <cfRule type="expression" dxfId="2792" priority="2742" stopIfTrue="1">
      <formula>$A27&lt;1</formula>
    </cfRule>
  </conditionalFormatting>
  <conditionalFormatting sqref="T33:T37">
    <cfRule type="expression" dxfId="2791" priority="2741" stopIfTrue="1">
      <formula>$A33&lt;1</formula>
    </cfRule>
  </conditionalFormatting>
  <conditionalFormatting sqref="T27:T45">
    <cfRule type="expression" dxfId="2790" priority="2740" stopIfTrue="1">
      <formula>$A27&lt;1</formula>
    </cfRule>
  </conditionalFormatting>
  <conditionalFormatting sqref="T33:T37">
    <cfRule type="expression" dxfId="2789" priority="2739" stopIfTrue="1">
      <formula>$A33&lt;1</formula>
    </cfRule>
  </conditionalFormatting>
  <conditionalFormatting sqref="T27:T45">
    <cfRule type="expression" dxfId="2788" priority="2738" stopIfTrue="1">
      <formula>$A27&lt;1</formula>
    </cfRule>
  </conditionalFormatting>
  <conditionalFormatting sqref="T33:T37">
    <cfRule type="expression" dxfId="2787" priority="2737" stopIfTrue="1">
      <formula>$A33&lt;1</formula>
    </cfRule>
  </conditionalFormatting>
  <conditionalFormatting sqref="T27:T45">
    <cfRule type="expression" dxfId="2786" priority="2736" stopIfTrue="1">
      <formula>$A27&lt;1</formula>
    </cfRule>
  </conditionalFormatting>
  <conditionalFormatting sqref="T33:T37">
    <cfRule type="expression" dxfId="2785" priority="2735" stopIfTrue="1">
      <formula>$A33&lt;1</formula>
    </cfRule>
  </conditionalFormatting>
  <conditionalFormatting sqref="T27:T45">
    <cfRule type="expression" dxfId="2784" priority="2734" stopIfTrue="1">
      <formula>$A27&lt;1</formula>
    </cfRule>
  </conditionalFormatting>
  <conditionalFormatting sqref="T33:T37">
    <cfRule type="expression" dxfId="2783" priority="2733" stopIfTrue="1">
      <formula>$A33&lt;1</formula>
    </cfRule>
  </conditionalFormatting>
  <conditionalFormatting sqref="T27:T45">
    <cfRule type="expression" dxfId="2782" priority="2732" stopIfTrue="1">
      <formula>$A27&lt;1</formula>
    </cfRule>
  </conditionalFormatting>
  <conditionalFormatting sqref="T33:T37">
    <cfRule type="expression" dxfId="2781" priority="2731" stopIfTrue="1">
      <formula>$A33&lt;1</formula>
    </cfRule>
  </conditionalFormatting>
  <conditionalFormatting sqref="T27:T45">
    <cfRule type="expression" dxfId="2780" priority="2730" stopIfTrue="1">
      <formula>$A27&lt;1</formula>
    </cfRule>
  </conditionalFormatting>
  <conditionalFormatting sqref="T33:T37">
    <cfRule type="expression" dxfId="2779" priority="2729" stopIfTrue="1">
      <formula>$A33&lt;1</formula>
    </cfRule>
  </conditionalFormatting>
  <conditionalFormatting sqref="T27:T45">
    <cfRule type="expression" dxfId="2778" priority="2728" stopIfTrue="1">
      <formula>$A27&lt;1</formula>
    </cfRule>
  </conditionalFormatting>
  <conditionalFormatting sqref="T33:T37">
    <cfRule type="expression" dxfId="2777" priority="2727" stopIfTrue="1">
      <formula>$A33&lt;1</formula>
    </cfRule>
  </conditionalFormatting>
  <conditionalFormatting sqref="T27:T45">
    <cfRule type="expression" dxfId="2776" priority="2726" stopIfTrue="1">
      <formula>$A27&lt;1</formula>
    </cfRule>
  </conditionalFormatting>
  <conditionalFormatting sqref="T33:T37">
    <cfRule type="expression" dxfId="2775" priority="2725" stopIfTrue="1">
      <formula>$A33&lt;1</formula>
    </cfRule>
  </conditionalFormatting>
  <conditionalFormatting sqref="T27:T45">
    <cfRule type="expression" dxfId="2774" priority="2724" stopIfTrue="1">
      <formula>$A27&lt;1</formula>
    </cfRule>
  </conditionalFormatting>
  <conditionalFormatting sqref="T33:T37">
    <cfRule type="expression" dxfId="2773" priority="2723" stopIfTrue="1">
      <formula>$A33&lt;1</formula>
    </cfRule>
  </conditionalFormatting>
  <conditionalFormatting sqref="T27:T45">
    <cfRule type="expression" dxfId="2772" priority="2722" stopIfTrue="1">
      <formula>$A27&lt;1</formula>
    </cfRule>
  </conditionalFormatting>
  <conditionalFormatting sqref="T33:T37">
    <cfRule type="expression" dxfId="2771" priority="2721" stopIfTrue="1">
      <formula>$A33&lt;1</formula>
    </cfRule>
  </conditionalFormatting>
  <conditionalFormatting sqref="T27:T45">
    <cfRule type="expression" dxfId="2770" priority="2720" stopIfTrue="1">
      <formula>$A27&lt;1</formula>
    </cfRule>
  </conditionalFormatting>
  <conditionalFormatting sqref="T33:T37">
    <cfRule type="expression" dxfId="2769" priority="2719" stopIfTrue="1">
      <formula>$A33&lt;1</formula>
    </cfRule>
  </conditionalFormatting>
  <conditionalFormatting sqref="T27:T45">
    <cfRule type="expression" dxfId="2768" priority="2718" stopIfTrue="1">
      <formula>$A27&lt;1</formula>
    </cfRule>
  </conditionalFormatting>
  <conditionalFormatting sqref="T33:T37">
    <cfRule type="expression" dxfId="2767" priority="2717" stopIfTrue="1">
      <formula>$A33&lt;1</formula>
    </cfRule>
  </conditionalFormatting>
  <conditionalFormatting sqref="T27:T45">
    <cfRule type="expression" dxfId="2766" priority="2716" stopIfTrue="1">
      <formula>$A27&lt;1</formula>
    </cfRule>
  </conditionalFormatting>
  <conditionalFormatting sqref="T33:T37">
    <cfRule type="expression" dxfId="2765" priority="2715" stopIfTrue="1">
      <formula>$A33&lt;1</formula>
    </cfRule>
  </conditionalFormatting>
  <conditionalFormatting sqref="T27:T45">
    <cfRule type="expression" dxfId="2764" priority="2714" stopIfTrue="1">
      <formula>$A27&lt;1</formula>
    </cfRule>
  </conditionalFormatting>
  <conditionalFormatting sqref="T33:T37">
    <cfRule type="expression" dxfId="2763" priority="2713" stopIfTrue="1">
      <formula>$A33&lt;1</formula>
    </cfRule>
  </conditionalFormatting>
  <conditionalFormatting sqref="T27:T45">
    <cfRule type="expression" dxfId="2762" priority="2712" stopIfTrue="1">
      <formula>$A27&lt;1</formula>
    </cfRule>
  </conditionalFormatting>
  <conditionalFormatting sqref="T33:T37">
    <cfRule type="expression" dxfId="2761" priority="2711" stopIfTrue="1">
      <formula>$A33&lt;1</formula>
    </cfRule>
  </conditionalFormatting>
  <conditionalFormatting sqref="T27:T45">
    <cfRule type="expression" dxfId="2760" priority="2710" stopIfTrue="1">
      <formula>$A27&lt;1</formula>
    </cfRule>
  </conditionalFormatting>
  <conditionalFormatting sqref="T33:T37">
    <cfRule type="expression" dxfId="2759" priority="2709" stopIfTrue="1">
      <formula>$A33&lt;1</formula>
    </cfRule>
  </conditionalFormatting>
  <conditionalFormatting sqref="T27:T45">
    <cfRule type="expression" dxfId="2758" priority="2708" stopIfTrue="1">
      <formula>$A27&lt;1</formula>
    </cfRule>
  </conditionalFormatting>
  <conditionalFormatting sqref="T33:T37">
    <cfRule type="expression" dxfId="2757" priority="2707" stopIfTrue="1">
      <formula>$A33&lt;1</formula>
    </cfRule>
  </conditionalFormatting>
  <conditionalFormatting sqref="T27:T45">
    <cfRule type="expression" dxfId="2756" priority="2706" stopIfTrue="1">
      <formula>$A27&lt;1</formula>
    </cfRule>
  </conditionalFormatting>
  <conditionalFormatting sqref="T33:T37">
    <cfRule type="expression" dxfId="2755" priority="2705" stopIfTrue="1">
      <formula>$A33&lt;1</formula>
    </cfRule>
  </conditionalFormatting>
  <conditionalFormatting sqref="T27:T45">
    <cfRule type="expression" dxfId="2754" priority="2704" stopIfTrue="1">
      <formula>$A27&lt;1</formula>
    </cfRule>
  </conditionalFormatting>
  <conditionalFormatting sqref="T33:T37">
    <cfRule type="expression" dxfId="2753" priority="2703" stopIfTrue="1">
      <formula>$A33&lt;1</formula>
    </cfRule>
  </conditionalFormatting>
  <conditionalFormatting sqref="T27:T45">
    <cfRule type="expression" dxfId="2752" priority="2702" stopIfTrue="1">
      <formula>$A27&lt;1</formula>
    </cfRule>
  </conditionalFormatting>
  <conditionalFormatting sqref="T33:T37">
    <cfRule type="expression" dxfId="2751" priority="2701" stopIfTrue="1">
      <formula>$A33&lt;1</formula>
    </cfRule>
  </conditionalFormatting>
  <conditionalFormatting sqref="T27:T45">
    <cfRule type="expression" dxfId="2750" priority="2700" stopIfTrue="1">
      <formula>$A27&lt;1</formula>
    </cfRule>
  </conditionalFormatting>
  <conditionalFormatting sqref="T33:T37">
    <cfRule type="expression" dxfId="2749" priority="2699" stopIfTrue="1">
      <formula>$A33&lt;1</formula>
    </cfRule>
  </conditionalFormatting>
  <conditionalFormatting sqref="T27:T45">
    <cfRule type="expression" dxfId="2748" priority="2698" stopIfTrue="1">
      <formula>$A27&lt;1</formula>
    </cfRule>
  </conditionalFormatting>
  <conditionalFormatting sqref="T33:T37">
    <cfRule type="expression" dxfId="2747" priority="2697" stopIfTrue="1">
      <formula>$A33&lt;1</formula>
    </cfRule>
  </conditionalFormatting>
  <conditionalFormatting sqref="T27:T45">
    <cfRule type="expression" dxfId="2746" priority="2696" stopIfTrue="1">
      <formula>$A27&lt;1</formula>
    </cfRule>
  </conditionalFormatting>
  <conditionalFormatting sqref="T33:T37">
    <cfRule type="expression" dxfId="2745" priority="2695" stopIfTrue="1">
      <formula>$A33&lt;1</formula>
    </cfRule>
  </conditionalFormatting>
  <conditionalFormatting sqref="T27:T45">
    <cfRule type="expression" dxfId="2744" priority="2694" stopIfTrue="1">
      <formula>$A27&lt;1</formula>
    </cfRule>
  </conditionalFormatting>
  <conditionalFormatting sqref="T33:T37">
    <cfRule type="expression" dxfId="2743" priority="2693" stopIfTrue="1">
      <formula>$A33&lt;1</formula>
    </cfRule>
  </conditionalFormatting>
  <conditionalFormatting sqref="T27:T45">
    <cfRule type="expression" dxfId="2742" priority="2692" stopIfTrue="1">
      <formula>$A27&lt;1</formula>
    </cfRule>
  </conditionalFormatting>
  <conditionalFormatting sqref="T33:T37">
    <cfRule type="expression" dxfId="2741" priority="2691" stopIfTrue="1">
      <formula>$A33&lt;1</formula>
    </cfRule>
  </conditionalFormatting>
  <conditionalFormatting sqref="T27:T45">
    <cfRule type="expression" dxfId="2740" priority="2690" stopIfTrue="1">
      <formula>$A27&lt;1</formula>
    </cfRule>
  </conditionalFormatting>
  <conditionalFormatting sqref="T33:T37">
    <cfRule type="expression" dxfId="2739" priority="2689" stopIfTrue="1">
      <formula>$A33&lt;1</formula>
    </cfRule>
  </conditionalFormatting>
  <conditionalFormatting sqref="T27:T45">
    <cfRule type="expression" dxfId="2738" priority="2688" stopIfTrue="1">
      <formula>$A27&lt;1</formula>
    </cfRule>
  </conditionalFormatting>
  <conditionalFormatting sqref="T33:T37">
    <cfRule type="expression" dxfId="2737" priority="2687" stopIfTrue="1">
      <formula>$A33&lt;1</formula>
    </cfRule>
  </conditionalFormatting>
  <conditionalFormatting sqref="T27:T45">
    <cfRule type="expression" dxfId="2736" priority="2686" stopIfTrue="1">
      <formula>$A27&lt;1</formula>
    </cfRule>
  </conditionalFormatting>
  <conditionalFormatting sqref="T33:T37">
    <cfRule type="expression" dxfId="2735" priority="2685" stopIfTrue="1">
      <formula>$A33&lt;1</formula>
    </cfRule>
  </conditionalFormatting>
  <conditionalFormatting sqref="T27:T45">
    <cfRule type="expression" dxfId="2734" priority="2684" stopIfTrue="1">
      <formula>$A27&lt;1</formula>
    </cfRule>
  </conditionalFormatting>
  <conditionalFormatting sqref="T33:T37">
    <cfRule type="expression" dxfId="2733" priority="2683" stopIfTrue="1">
      <formula>$A33&lt;1</formula>
    </cfRule>
  </conditionalFormatting>
  <conditionalFormatting sqref="T27:T45">
    <cfRule type="expression" dxfId="2732" priority="2682" stopIfTrue="1">
      <formula>$A27&lt;1</formula>
    </cfRule>
  </conditionalFormatting>
  <conditionalFormatting sqref="T33:T37">
    <cfRule type="expression" dxfId="2731" priority="2681" stopIfTrue="1">
      <formula>$A33&lt;1</formula>
    </cfRule>
  </conditionalFormatting>
  <conditionalFormatting sqref="T27:T45">
    <cfRule type="expression" dxfId="2730" priority="2680" stopIfTrue="1">
      <formula>$A27&lt;1</formula>
    </cfRule>
  </conditionalFormatting>
  <conditionalFormatting sqref="T33:T37">
    <cfRule type="expression" dxfId="2729" priority="2679" stopIfTrue="1">
      <formula>$A33&lt;1</formula>
    </cfRule>
  </conditionalFormatting>
  <conditionalFormatting sqref="T27:T45">
    <cfRule type="expression" dxfId="2728" priority="2678" stopIfTrue="1">
      <formula>$A27&lt;1</formula>
    </cfRule>
  </conditionalFormatting>
  <conditionalFormatting sqref="T33:T37">
    <cfRule type="expression" dxfId="2727" priority="2677" stopIfTrue="1">
      <formula>$A33&lt;1</formula>
    </cfRule>
  </conditionalFormatting>
  <conditionalFormatting sqref="T27:T45">
    <cfRule type="expression" dxfId="2726" priority="2676" stopIfTrue="1">
      <formula>$A27&lt;1</formula>
    </cfRule>
  </conditionalFormatting>
  <conditionalFormatting sqref="T33:T37">
    <cfRule type="expression" dxfId="2725" priority="2675" stopIfTrue="1">
      <formula>$A33&lt;1</formula>
    </cfRule>
  </conditionalFormatting>
  <conditionalFormatting sqref="T27:T45">
    <cfRule type="expression" dxfId="2724" priority="2674" stopIfTrue="1">
      <formula>$A27&lt;1</formula>
    </cfRule>
  </conditionalFormatting>
  <conditionalFormatting sqref="T33:T37">
    <cfRule type="expression" dxfId="2723" priority="2673" stopIfTrue="1">
      <formula>$A33&lt;1</formula>
    </cfRule>
  </conditionalFormatting>
  <conditionalFormatting sqref="T27:T45">
    <cfRule type="expression" dxfId="2722" priority="2672" stopIfTrue="1">
      <formula>$A27&lt;1</formula>
    </cfRule>
  </conditionalFormatting>
  <conditionalFormatting sqref="T33:T37">
    <cfRule type="expression" dxfId="2721" priority="2671" stopIfTrue="1">
      <formula>$A33&lt;1</formula>
    </cfRule>
  </conditionalFormatting>
  <conditionalFormatting sqref="T27:T45">
    <cfRule type="expression" dxfId="2720" priority="2670" stopIfTrue="1">
      <formula>$A27&lt;1</formula>
    </cfRule>
  </conditionalFormatting>
  <conditionalFormatting sqref="T33:T37">
    <cfRule type="expression" dxfId="2719" priority="2669" stopIfTrue="1">
      <formula>$A33&lt;1</formula>
    </cfRule>
  </conditionalFormatting>
  <conditionalFormatting sqref="T27:T45">
    <cfRule type="expression" dxfId="2718" priority="2668" stopIfTrue="1">
      <formula>$A27&lt;1</formula>
    </cfRule>
  </conditionalFormatting>
  <conditionalFormatting sqref="T33:T37">
    <cfRule type="expression" dxfId="2717" priority="2667" stopIfTrue="1">
      <formula>$A33&lt;1</formula>
    </cfRule>
  </conditionalFormatting>
  <conditionalFormatting sqref="T27:T45">
    <cfRule type="expression" dxfId="2716" priority="2666" stopIfTrue="1">
      <formula>$A27&lt;1</formula>
    </cfRule>
  </conditionalFormatting>
  <conditionalFormatting sqref="T33:T37">
    <cfRule type="expression" dxfId="2715" priority="2665" stopIfTrue="1">
      <formula>$A33&lt;1</formula>
    </cfRule>
  </conditionalFormatting>
  <conditionalFormatting sqref="T27:T45">
    <cfRule type="expression" dxfId="2714" priority="2664" stopIfTrue="1">
      <formula>$A27&lt;1</formula>
    </cfRule>
  </conditionalFormatting>
  <conditionalFormatting sqref="T33:T37">
    <cfRule type="expression" dxfId="2713" priority="2663" stopIfTrue="1">
      <formula>$A33&lt;1</formula>
    </cfRule>
  </conditionalFormatting>
  <conditionalFormatting sqref="T27:T45">
    <cfRule type="expression" dxfId="2712" priority="2662" stopIfTrue="1">
      <formula>$A27&lt;1</formula>
    </cfRule>
  </conditionalFormatting>
  <conditionalFormatting sqref="T33:T37">
    <cfRule type="expression" dxfId="2711" priority="2661" stopIfTrue="1">
      <formula>$A33&lt;1</formula>
    </cfRule>
  </conditionalFormatting>
  <conditionalFormatting sqref="T27:T45">
    <cfRule type="expression" dxfId="2710" priority="2660" stopIfTrue="1">
      <formula>$A27&lt;1</formula>
    </cfRule>
  </conditionalFormatting>
  <conditionalFormatting sqref="T33:T37">
    <cfRule type="expression" dxfId="2709" priority="2659" stopIfTrue="1">
      <formula>$A33&lt;1</formula>
    </cfRule>
  </conditionalFormatting>
  <conditionalFormatting sqref="T27:T45">
    <cfRule type="expression" dxfId="2708" priority="2658" stopIfTrue="1">
      <formula>$A27&lt;1</formula>
    </cfRule>
  </conditionalFormatting>
  <conditionalFormatting sqref="T33:T37">
    <cfRule type="expression" dxfId="2707" priority="2657" stopIfTrue="1">
      <formula>$A33&lt;1</formula>
    </cfRule>
  </conditionalFormatting>
  <conditionalFormatting sqref="T27:T45">
    <cfRule type="expression" dxfId="2706" priority="2656" stopIfTrue="1">
      <formula>$A27&lt;1</formula>
    </cfRule>
  </conditionalFormatting>
  <conditionalFormatting sqref="T33:T37">
    <cfRule type="expression" dxfId="2705" priority="2655" stopIfTrue="1">
      <formula>$A33&lt;1</formula>
    </cfRule>
  </conditionalFormatting>
  <conditionalFormatting sqref="T27:T45">
    <cfRule type="expression" dxfId="2704" priority="2654" stopIfTrue="1">
      <formula>$A27&lt;1</formula>
    </cfRule>
  </conditionalFormatting>
  <conditionalFormatting sqref="T33:T37">
    <cfRule type="expression" dxfId="2703" priority="2653" stopIfTrue="1">
      <formula>$A33&lt;1</formula>
    </cfRule>
  </conditionalFormatting>
  <conditionalFormatting sqref="T27:T45">
    <cfRule type="expression" dxfId="2702" priority="2652" stopIfTrue="1">
      <formula>$A27&lt;1</formula>
    </cfRule>
  </conditionalFormatting>
  <conditionalFormatting sqref="T33:T37">
    <cfRule type="expression" dxfId="2701" priority="2651" stopIfTrue="1">
      <formula>$A33&lt;1</formula>
    </cfRule>
  </conditionalFormatting>
  <conditionalFormatting sqref="T27:T45">
    <cfRule type="expression" dxfId="2700" priority="2650" stopIfTrue="1">
      <formula>$A27&lt;1</formula>
    </cfRule>
  </conditionalFormatting>
  <conditionalFormatting sqref="T33:T37">
    <cfRule type="expression" dxfId="2699" priority="2649" stopIfTrue="1">
      <formula>$A33&lt;1</formula>
    </cfRule>
  </conditionalFormatting>
  <conditionalFormatting sqref="T27:T45">
    <cfRule type="expression" dxfId="2698" priority="2648" stopIfTrue="1">
      <formula>$A27&lt;1</formula>
    </cfRule>
  </conditionalFormatting>
  <conditionalFormatting sqref="T33:T37">
    <cfRule type="expression" dxfId="2697" priority="2647" stopIfTrue="1">
      <formula>$A33&lt;1</formula>
    </cfRule>
  </conditionalFormatting>
  <conditionalFormatting sqref="T27:T45">
    <cfRule type="expression" dxfId="2696" priority="2646" stopIfTrue="1">
      <formula>$A27&lt;1</formula>
    </cfRule>
  </conditionalFormatting>
  <conditionalFormatting sqref="T33:T37">
    <cfRule type="expression" dxfId="2695" priority="2645" stopIfTrue="1">
      <formula>$A33&lt;1</formula>
    </cfRule>
  </conditionalFormatting>
  <conditionalFormatting sqref="T27:T45">
    <cfRule type="expression" dxfId="2694" priority="2644" stopIfTrue="1">
      <formula>$A27&lt;1</formula>
    </cfRule>
  </conditionalFormatting>
  <conditionalFormatting sqref="T33:T37">
    <cfRule type="expression" dxfId="2693" priority="2643" stopIfTrue="1">
      <formula>$A33&lt;1</formula>
    </cfRule>
  </conditionalFormatting>
  <conditionalFormatting sqref="T27:T45">
    <cfRule type="expression" dxfId="2692" priority="2642" stopIfTrue="1">
      <formula>$A27&lt;1</formula>
    </cfRule>
  </conditionalFormatting>
  <conditionalFormatting sqref="T33:T37">
    <cfRule type="expression" dxfId="2691" priority="2641" stopIfTrue="1">
      <formula>$A33&lt;1</formula>
    </cfRule>
  </conditionalFormatting>
  <conditionalFormatting sqref="T27:T45">
    <cfRule type="expression" dxfId="2690" priority="2640" stopIfTrue="1">
      <formula>$A27&lt;1</formula>
    </cfRule>
  </conditionalFormatting>
  <conditionalFormatting sqref="T33:T37">
    <cfRule type="expression" dxfId="2689" priority="2639" stopIfTrue="1">
      <formula>$A33&lt;1</formula>
    </cfRule>
  </conditionalFormatting>
  <conditionalFormatting sqref="T27:T45">
    <cfRule type="expression" dxfId="2688" priority="2638" stopIfTrue="1">
      <formula>$A27&lt;1</formula>
    </cfRule>
  </conditionalFormatting>
  <conditionalFormatting sqref="T33:T37">
    <cfRule type="expression" dxfId="2687" priority="2637" stopIfTrue="1">
      <formula>$A33&lt;1</formula>
    </cfRule>
  </conditionalFormatting>
  <conditionalFormatting sqref="T27:T45">
    <cfRule type="expression" dxfId="2686" priority="2636" stopIfTrue="1">
      <formula>$A27&lt;1</formula>
    </cfRule>
  </conditionalFormatting>
  <conditionalFormatting sqref="T33:T37">
    <cfRule type="expression" dxfId="2685" priority="2635" stopIfTrue="1">
      <formula>$A33&lt;1</formula>
    </cfRule>
  </conditionalFormatting>
  <conditionalFormatting sqref="T27:T45">
    <cfRule type="expression" dxfId="2684" priority="2634" stopIfTrue="1">
      <formula>$A27&lt;1</formula>
    </cfRule>
  </conditionalFormatting>
  <conditionalFormatting sqref="T33:T37">
    <cfRule type="expression" dxfId="2683" priority="2633" stopIfTrue="1">
      <formula>$A33&lt;1</formula>
    </cfRule>
  </conditionalFormatting>
  <conditionalFormatting sqref="T27:T45">
    <cfRule type="expression" dxfId="2682" priority="2632" stopIfTrue="1">
      <formula>$A27&lt;1</formula>
    </cfRule>
  </conditionalFormatting>
  <conditionalFormatting sqref="T33:T37">
    <cfRule type="expression" dxfId="2681" priority="2631" stopIfTrue="1">
      <formula>$A33&lt;1</formula>
    </cfRule>
  </conditionalFormatting>
  <conditionalFormatting sqref="T27:T45">
    <cfRule type="expression" dxfId="2680" priority="2630" stopIfTrue="1">
      <formula>$A27&lt;1</formula>
    </cfRule>
  </conditionalFormatting>
  <conditionalFormatting sqref="T33:T37">
    <cfRule type="expression" dxfId="2679" priority="2629" stopIfTrue="1">
      <formula>$A33&lt;1</formula>
    </cfRule>
  </conditionalFormatting>
  <conditionalFormatting sqref="T27:T45">
    <cfRule type="expression" dxfId="2678" priority="2628" stopIfTrue="1">
      <formula>$A27&lt;1</formula>
    </cfRule>
  </conditionalFormatting>
  <conditionalFormatting sqref="T33:T37">
    <cfRule type="expression" dxfId="2677" priority="2627" stopIfTrue="1">
      <formula>$A33&lt;1</formula>
    </cfRule>
  </conditionalFormatting>
  <conditionalFormatting sqref="T27:T45">
    <cfRule type="expression" dxfId="2676" priority="2626" stopIfTrue="1">
      <formula>$A27&lt;1</formula>
    </cfRule>
  </conditionalFormatting>
  <conditionalFormatting sqref="T33:T37">
    <cfRule type="expression" dxfId="2675" priority="2625" stopIfTrue="1">
      <formula>$A33&lt;1</formula>
    </cfRule>
  </conditionalFormatting>
  <conditionalFormatting sqref="T27:T45">
    <cfRule type="expression" dxfId="2674" priority="2624" stopIfTrue="1">
      <formula>$A27&lt;1</formula>
    </cfRule>
  </conditionalFormatting>
  <conditionalFormatting sqref="T33:T37">
    <cfRule type="expression" dxfId="2673" priority="2623" stopIfTrue="1">
      <formula>$A33&lt;1</formula>
    </cfRule>
  </conditionalFormatting>
  <conditionalFormatting sqref="T27:T45">
    <cfRule type="expression" dxfId="2672" priority="2622" stopIfTrue="1">
      <formula>$A27&lt;1</formula>
    </cfRule>
  </conditionalFormatting>
  <conditionalFormatting sqref="T33:T37">
    <cfRule type="expression" dxfId="2671" priority="2621" stopIfTrue="1">
      <formula>$A33&lt;1</formula>
    </cfRule>
  </conditionalFormatting>
  <conditionalFormatting sqref="T27:T45">
    <cfRule type="expression" dxfId="2670" priority="2620" stopIfTrue="1">
      <formula>$A27&lt;1</formula>
    </cfRule>
  </conditionalFormatting>
  <conditionalFormatting sqref="T33:T37">
    <cfRule type="expression" dxfId="2669" priority="2619" stopIfTrue="1">
      <formula>$A33&lt;1</formula>
    </cfRule>
  </conditionalFormatting>
  <conditionalFormatting sqref="T27:T45">
    <cfRule type="expression" dxfId="2668" priority="2618" stopIfTrue="1">
      <formula>$A27&lt;1</formula>
    </cfRule>
  </conditionalFormatting>
  <conditionalFormatting sqref="T33:T37">
    <cfRule type="expression" dxfId="2667" priority="2617" stopIfTrue="1">
      <formula>$A33&lt;1</formula>
    </cfRule>
  </conditionalFormatting>
  <conditionalFormatting sqref="T27:T45">
    <cfRule type="expression" dxfId="2666" priority="2616" stopIfTrue="1">
      <formula>$A27&lt;1</formula>
    </cfRule>
  </conditionalFormatting>
  <conditionalFormatting sqref="T33:T37">
    <cfRule type="expression" dxfId="2665" priority="2615" stopIfTrue="1">
      <formula>$A33&lt;1</formula>
    </cfRule>
  </conditionalFormatting>
  <conditionalFormatting sqref="T27:T45">
    <cfRule type="expression" dxfId="2664" priority="2614" stopIfTrue="1">
      <formula>$A27&lt;1</formula>
    </cfRule>
  </conditionalFormatting>
  <conditionalFormatting sqref="T33:T37">
    <cfRule type="expression" dxfId="2663" priority="2613" stopIfTrue="1">
      <formula>$A33&lt;1</formula>
    </cfRule>
  </conditionalFormatting>
  <conditionalFormatting sqref="T27:T45">
    <cfRule type="expression" dxfId="2662" priority="2612" stopIfTrue="1">
      <formula>$A27&lt;1</formula>
    </cfRule>
  </conditionalFormatting>
  <conditionalFormatting sqref="T33:T37">
    <cfRule type="expression" dxfId="2661" priority="2611" stopIfTrue="1">
      <formula>$A33&lt;1</formula>
    </cfRule>
  </conditionalFormatting>
  <conditionalFormatting sqref="T27:T45">
    <cfRule type="expression" dxfId="2660" priority="2610" stopIfTrue="1">
      <formula>$A27&lt;1</formula>
    </cfRule>
  </conditionalFormatting>
  <conditionalFormatting sqref="T33:T37">
    <cfRule type="expression" dxfId="2659" priority="2609" stopIfTrue="1">
      <formula>$A33&lt;1</formula>
    </cfRule>
  </conditionalFormatting>
  <conditionalFormatting sqref="T27:T45">
    <cfRule type="expression" dxfId="2658" priority="2608" stopIfTrue="1">
      <formula>$A27&lt;1</formula>
    </cfRule>
  </conditionalFormatting>
  <conditionalFormatting sqref="T33:T37">
    <cfRule type="expression" dxfId="2657" priority="2607" stopIfTrue="1">
      <formula>$A33&lt;1</formula>
    </cfRule>
  </conditionalFormatting>
  <conditionalFormatting sqref="T27:T45">
    <cfRule type="expression" dxfId="2656" priority="2606" stopIfTrue="1">
      <formula>$A27&lt;1</formula>
    </cfRule>
  </conditionalFormatting>
  <conditionalFormatting sqref="T33:T37">
    <cfRule type="expression" dxfId="2655" priority="2605" stopIfTrue="1">
      <formula>$A33&lt;1</formula>
    </cfRule>
  </conditionalFormatting>
  <conditionalFormatting sqref="T27:T45">
    <cfRule type="expression" dxfId="2654" priority="2604" stopIfTrue="1">
      <formula>$A27&lt;1</formula>
    </cfRule>
  </conditionalFormatting>
  <conditionalFormatting sqref="T33:T37">
    <cfRule type="expression" dxfId="2653" priority="2603" stopIfTrue="1">
      <formula>$A33&lt;1</formula>
    </cfRule>
  </conditionalFormatting>
  <conditionalFormatting sqref="T27:T45">
    <cfRule type="expression" dxfId="2652" priority="2602" stopIfTrue="1">
      <formula>$A27&lt;1</formula>
    </cfRule>
  </conditionalFormatting>
  <conditionalFormatting sqref="T33:T37">
    <cfRule type="expression" dxfId="2651" priority="2601" stopIfTrue="1">
      <formula>$A33&lt;1</formula>
    </cfRule>
  </conditionalFormatting>
  <conditionalFormatting sqref="T27:T45">
    <cfRule type="expression" dxfId="2650" priority="2600" stopIfTrue="1">
      <formula>$A27&lt;1</formula>
    </cfRule>
  </conditionalFormatting>
  <conditionalFormatting sqref="T33:T37">
    <cfRule type="expression" dxfId="2649" priority="2599" stopIfTrue="1">
      <formula>$A33&lt;1</formula>
    </cfRule>
  </conditionalFormatting>
  <conditionalFormatting sqref="T27:T45">
    <cfRule type="expression" dxfId="2648" priority="2598" stopIfTrue="1">
      <formula>$A27&lt;1</formula>
    </cfRule>
  </conditionalFormatting>
  <conditionalFormatting sqref="T33:T37">
    <cfRule type="expression" dxfId="2647" priority="2597" stopIfTrue="1">
      <formula>$A33&lt;1</formula>
    </cfRule>
  </conditionalFormatting>
  <conditionalFormatting sqref="T27:T45">
    <cfRule type="expression" dxfId="2646" priority="2596" stopIfTrue="1">
      <formula>$A27&lt;1</formula>
    </cfRule>
  </conditionalFormatting>
  <conditionalFormatting sqref="T33:T37">
    <cfRule type="expression" dxfId="2645" priority="2595" stopIfTrue="1">
      <formula>$A33&lt;1</formula>
    </cfRule>
  </conditionalFormatting>
  <conditionalFormatting sqref="T27:T45">
    <cfRule type="expression" dxfId="2644" priority="2594" stopIfTrue="1">
      <formula>$A27&lt;1</formula>
    </cfRule>
  </conditionalFormatting>
  <conditionalFormatting sqref="T33:T37">
    <cfRule type="expression" dxfId="2643" priority="2593" stopIfTrue="1">
      <formula>$A33&lt;1</formula>
    </cfRule>
  </conditionalFormatting>
  <conditionalFormatting sqref="T27:T45">
    <cfRule type="expression" dxfId="2642" priority="2592" stopIfTrue="1">
      <formula>$A27&lt;1</formula>
    </cfRule>
  </conditionalFormatting>
  <conditionalFormatting sqref="T33:T37">
    <cfRule type="expression" dxfId="2641" priority="2591" stopIfTrue="1">
      <formula>$A33&lt;1</formula>
    </cfRule>
  </conditionalFormatting>
  <conditionalFormatting sqref="T27:T45">
    <cfRule type="expression" dxfId="2640" priority="2590" stopIfTrue="1">
      <formula>$A27&lt;1</formula>
    </cfRule>
  </conditionalFormatting>
  <conditionalFormatting sqref="T33:T37">
    <cfRule type="expression" dxfId="2639" priority="2589" stopIfTrue="1">
      <formula>$A33&lt;1</formula>
    </cfRule>
  </conditionalFormatting>
  <conditionalFormatting sqref="T27:T45">
    <cfRule type="expression" dxfId="2638" priority="2588" stopIfTrue="1">
      <formula>$A27&lt;1</formula>
    </cfRule>
  </conditionalFormatting>
  <conditionalFormatting sqref="T33:T37">
    <cfRule type="expression" dxfId="2637" priority="2587" stopIfTrue="1">
      <formula>$A33&lt;1</formula>
    </cfRule>
  </conditionalFormatting>
  <conditionalFormatting sqref="T27:T45">
    <cfRule type="expression" dxfId="2636" priority="2586" stopIfTrue="1">
      <formula>$A27&lt;1</formula>
    </cfRule>
  </conditionalFormatting>
  <conditionalFormatting sqref="T33:T37">
    <cfRule type="expression" dxfId="2635" priority="2585" stopIfTrue="1">
      <formula>$A33&lt;1</formula>
    </cfRule>
  </conditionalFormatting>
  <conditionalFormatting sqref="T27:T45">
    <cfRule type="expression" dxfId="2634" priority="2584" stopIfTrue="1">
      <formula>$A27&lt;1</formula>
    </cfRule>
  </conditionalFormatting>
  <conditionalFormatting sqref="T33:T37">
    <cfRule type="expression" dxfId="2633" priority="2583" stopIfTrue="1">
      <formula>$A33&lt;1</formula>
    </cfRule>
  </conditionalFormatting>
  <conditionalFormatting sqref="T27:T45">
    <cfRule type="expression" dxfId="2632" priority="2582" stopIfTrue="1">
      <formula>$A27&lt;1</formula>
    </cfRule>
  </conditionalFormatting>
  <conditionalFormatting sqref="T33:T37">
    <cfRule type="expression" dxfId="2631" priority="2581" stopIfTrue="1">
      <formula>$A33&lt;1</formula>
    </cfRule>
  </conditionalFormatting>
  <conditionalFormatting sqref="T27:T45">
    <cfRule type="expression" dxfId="2630" priority="2580" stopIfTrue="1">
      <formula>$A27&lt;1</formula>
    </cfRule>
  </conditionalFormatting>
  <conditionalFormatting sqref="T33:T37">
    <cfRule type="expression" dxfId="2629" priority="2579" stopIfTrue="1">
      <formula>$A33&lt;1</formula>
    </cfRule>
  </conditionalFormatting>
  <conditionalFormatting sqref="T27:T45">
    <cfRule type="expression" dxfId="2628" priority="2578" stopIfTrue="1">
      <formula>$A27&lt;1</formula>
    </cfRule>
  </conditionalFormatting>
  <conditionalFormatting sqref="T33:T37">
    <cfRule type="expression" dxfId="2627" priority="2577" stopIfTrue="1">
      <formula>$A33&lt;1</formula>
    </cfRule>
  </conditionalFormatting>
  <conditionalFormatting sqref="T27:T45">
    <cfRule type="expression" dxfId="2626" priority="2576" stopIfTrue="1">
      <formula>$A27&lt;1</formula>
    </cfRule>
  </conditionalFormatting>
  <conditionalFormatting sqref="T33:T37">
    <cfRule type="expression" dxfId="2625" priority="2575" stopIfTrue="1">
      <formula>$A33&lt;1</formula>
    </cfRule>
  </conditionalFormatting>
  <conditionalFormatting sqref="T27:T45">
    <cfRule type="expression" dxfId="2624" priority="2574" stopIfTrue="1">
      <formula>$A27&lt;1</formula>
    </cfRule>
  </conditionalFormatting>
  <conditionalFormatting sqref="T33:T37">
    <cfRule type="expression" dxfId="2623" priority="2573" stopIfTrue="1">
      <formula>$A33&lt;1</formula>
    </cfRule>
  </conditionalFormatting>
  <conditionalFormatting sqref="T27:T45">
    <cfRule type="expression" dxfId="2622" priority="2572" stopIfTrue="1">
      <formula>$A27&lt;1</formula>
    </cfRule>
  </conditionalFormatting>
  <conditionalFormatting sqref="T33:T37">
    <cfRule type="expression" dxfId="2621" priority="2571" stopIfTrue="1">
      <formula>$A33&lt;1</formula>
    </cfRule>
  </conditionalFormatting>
  <conditionalFormatting sqref="T27:T45">
    <cfRule type="expression" dxfId="2620" priority="2570" stopIfTrue="1">
      <formula>$A27&lt;1</formula>
    </cfRule>
  </conditionalFormatting>
  <conditionalFormatting sqref="T33:T37">
    <cfRule type="expression" dxfId="2619" priority="2569" stopIfTrue="1">
      <formula>$A33&lt;1</formula>
    </cfRule>
  </conditionalFormatting>
  <conditionalFormatting sqref="T27:T45">
    <cfRule type="expression" dxfId="2618" priority="2568" stopIfTrue="1">
      <formula>$A27&lt;1</formula>
    </cfRule>
  </conditionalFormatting>
  <conditionalFormatting sqref="T33:T37">
    <cfRule type="expression" dxfId="2617" priority="2567" stopIfTrue="1">
      <formula>$A33&lt;1</formula>
    </cfRule>
  </conditionalFormatting>
  <conditionalFormatting sqref="T27:T45">
    <cfRule type="expression" dxfId="2616" priority="2566" stopIfTrue="1">
      <formula>$A27&lt;1</formula>
    </cfRule>
  </conditionalFormatting>
  <conditionalFormatting sqref="T33:T37">
    <cfRule type="expression" dxfId="2615" priority="2565" stopIfTrue="1">
      <formula>$A33&lt;1</formula>
    </cfRule>
  </conditionalFormatting>
  <conditionalFormatting sqref="T27:T45">
    <cfRule type="expression" dxfId="2614" priority="2564" stopIfTrue="1">
      <formula>$A27&lt;1</formula>
    </cfRule>
  </conditionalFormatting>
  <conditionalFormatting sqref="T33:T37">
    <cfRule type="expression" dxfId="2613" priority="2563" stopIfTrue="1">
      <formula>$A33&lt;1</formula>
    </cfRule>
  </conditionalFormatting>
  <conditionalFormatting sqref="T27:T45">
    <cfRule type="expression" dxfId="2612" priority="2562" stopIfTrue="1">
      <formula>$A27&lt;1</formula>
    </cfRule>
  </conditionalFormatting>
  <conditionalFormatting sqref="T33:T37">
    <cfRule type="expression" dxfId="2611" priority="2561" stopIfTrue="1">
      <formula>$A33&lt;1</formula>
    </cfRule>
  </conditionalFormatting>
  <conditionalFormatting sqref="T27:T45">
    <cfRule type="expression" dxfId="2610" priority="2560" stopIfTrue="1">
      <formula>$A27&lt;1</formula>
    </cfRule>
  </conditionalFormatting>
  <conditionalFormatting sqref="T33:T37">
    <cfRule type="expression" dxfId="2609" priority="2559" stopIfTrue="1">
      <formula>$A33&lt;1</formula>
    </cfRule>
  </conditionalFormatting>
  <conditionalFormatting sqref="T27:T45">
    <cfRule type="expression" dxfId="2608" priority="2558" stopIfTrue="1">
      <formula>$A27&lt;1</formula>
    </cfRule>
  </conditionalFormatting>
  <conditionalFormatting sqref="T33:T37">
    <cfRule type="expression" dxfId="2607" priority="2557" stopIfTrue="1">
      <formula>$A33&lt;1</formula>
    </cfRule>
  </conditionalFormatting>
  <conditionalFormatting sqref="T27:T45">
    <cfRule type="expression" dxfId="2606" priority="2556" stopIfTrue="1">
      <formula>$A27&lt;1</formula>
    </cfRule>
  </conditionalFormatting>
  <conditionalFormatting sqref="T33:T37">
    <cfRule type="expression" dxfId="2605" priority="2555" stopIfTrue="1">
      <formula>$A33&lt;1</formula>
    </cfRule>
  </conditionalFormatting>
  <conditionalFormatting sqref="T27:T45">
    <cfRule type="expression" dxfId="2604" priority="2554" stopIfTrue="1">
      <formula>$A27&lt;1</formula>
    </cfRule>
  </conditionalFormatting>
  <conditionalFormatting sqref="T33:T37">
    <cfRule type="expression" dxfId="2603" priority="2553" stopIfTrue="1">
      <formula>$A33&lt;1</formula>
    </cfRule>
  </conditionalFormatting>
  <conditionalFormatting sqref="T27:T45">
    <cfRule type="expression" dxfId="2602" priority="2552" stopIfTrue="1">
      <formula>$A27&lt;1</formula>
    </cfRule>
  </conditionalFormatting>
  <conditionalFormatting sqref="T33:T37">
    <cfRule type="expression" dxfId="2601" priority="2551" stopIfTrue="1">
      <formula>$A33&lt;1</formula>
    </cfRule>
  </conditionalFormatting>
  <conditionalFormatting sqref="T27:T45">
    <cfRule type="expression" dxfId="2600" priority="2550" stopIfTrue="1">
      <formula>$A27&lt;1</formula>
    </cfRule>
  </conditionalFormatting>
  <conditionalFormatting sqref="T33:T37">
    <cfRule type="expression" dxfId="2599" priority="2549" stopIfTrue="1">
      <formula>$A33&lt;1</formula>
    </cfRule>
  </conditionalFormatting>
  <conditionalFormatting sqref="T27:T45">
    <cfRule type="expression" dxfId="2598" priority="2548" stopIfTrue="1">
      <formula>$A27&lt;1</formula>
    </cfRule>
  </conditionalFormatting>
  <conditionalFormatting sqref="T33:T37">
    <cfRule type="expression" dxfId="2597" priority="2547" stopIfTrue="1">
      <formula>$A33&lt;1</formula>
    </cfRule>
  </conditionalFormatting>
  <conditionalFormatting sqref="T27:T45">
    <cfRule type="expression" dxfId="2596" priority="2546" stopIfTrue="1">
      <formula>$A27&lt;1</formula>
    </cfRule>
  </conditionalFormatting>
  <conditionalFormatting sqref="T33:T37">
    <cfRule type="expression" dxfId="2595" priority="2545" stopIfTrue="1">
      <formula>$A33&lt;1</formula>
    </cfRule>
  </conditionalFormatting>
  <conditionalFormatting sqref="T27:T45">
    <cfRule type="expression" dxfId="2594" priority="2544" stopIfTrue="1">
      <formula>$A27&lt;1</formula>
    </cfRule>
  </conditionalFormatting>
  <conditionalFormatting sqref="T33:T37">
    <cfRule type="expression" dxfId="2593" priority="2543" stopIfTrue="1">
      <formula>$A33&lt;1</formula>
    </cfRule>
  </conditionalFormatting>
  <conditionalFormatting sqref="T27:T45">
    <cfRule type="expression" dxfId="2592" priority="2542" stopIfTrue="1">
      <formula>$A27&lt;1</formula>
    </cfRule>
  </conditionalFormatting>
  <conditionalFormatting sqref="T33:T37">
    <cfRule type="expression" dxfId="2591" priority="2541" stopIfTrue="1">
      <formula>$A33&lt;1</formula>
    </cfRule>
  </conditionalFormatting>
  <conditionalFormatting sqref="T27:T45">
    <cfRule type="expression" dxfId="2590" priority="2540" stopIfTrue="1">
      <formula>$A27&lt;1</formula>
    </cfRule>
  </conditionalFormatting>
  <conditionalFormatting sqref="T33:T37">
    <cfRule type="expression" dxfId="2589" priority="2539" stopIfTrue="1">
      <formula>$A33&lt;1</formula>
    </cfRule>
  </conditionalFormatting>
  <conditionalFormatting sqref="T27:T45">
    <cfRule type="expression" dxfId="2588" priority="2538" stopIfTrue="1">
      <formula>$A27&lt;1</formula>
    </cfRule>
  </conditionalFormatting>
  <conditionalFormatting sqref="T33:T37">
    <cfRule type="expression" dxfId="2587" priority="2537" stopIfTrue="1">
      <formula>$A33&lt;1</formula>
    </cfRule>
  </conditionalFormatting>
  <conditionalFormatting sqref="T27:T45">
    <cfRule type="expression" dxfId="2586" priority="2536" stopIfTrue="1">
      <formula>$A27&lt;1</formula>
    </cfRule>
  </conditionalFormatting>
  <conditionalFormatting sqref="T33:T37">
    <cfRule type="expression" dxfId="2585" priority="2535" stopIfTrue="1">
      <formula>$A33&lt;1</formula>
    </cfRule>
  </conditionalFormatting>
  <conditionalFormatting sqref="T27:T45">
    <cfRule type="expression" dxfId="2584" priority="2534" stopIfTrue="1">
      <formula>$A27&lt;1</formula>
    </cfRule>
  </conditionalFormatting>
  <conditionalFormatting sqref="T33:T37">
    <cfRule type="expression" dxfId="2583" priority="2533" stopIfTrue="1">
      <formula>$A33&lt;1</formula>
    </cfRule>
  </conditionalFormatting>
  <conditionalFormatting sqref="T27:T45">
    <cfRule type="expression" dxfId="2582" priority="2532" stopIfTrue="1">
      <formula>$A27&lt;1</formula>
    </cfRule>
  </conditionalFormatting>
  <conditionalFormatting sqref="T33:T37">
    <cfRule type="expression" dxfId="2581" priority="2531" stopIfTrue="1">
      <formula>$A33&lt;1</formula>
    </cfRule>
  </conditionalFormatting>
  <conditionalFormatting sqref="T27:T45">
    <cfRule type="expression" dxfId="2580" priority="2530" stopIfTrue="1">
      <formula>$A27&lt;1</formula>
    </cfRule>
  </conditionalFormatting>
  <conditionalFormatting sqref="T33:T37">
    <cfRule type="expression" dxfId="2579" priority="2529" stopIfTrue="1">
      <formula>$A33&lt;1</formula>
    </cfRule>
  </conditionalFormatting>
  <conditionalFormatting sqref="T27:T45">
    <cfRule type="expression" dxfId="2578" priority="2528" stopIfTrue="1">
      <formula>$A27&lt;1</formula>
    </cfRule>
  </conditionalFormatting>
  <conditionalFormatting sqref="T33:T37">
    <cfRule type="expression" dxfId="2577" priority="2527" stopIfTrue="1">
      <formula>$A33&lt;1</formula>
    </cfRule>
  </conditionalFormatting>
  <conditionalFormatting sqref="T27:T45">
    <cfRule type="expression" dxfId="2576" priority="2526" stopIfTrue="1">
      <formula>$A27&lt;1</formula>
    </cfRule>
  </conditionalFormatting>
  <conditionalFormatting sqref="T33:T37">
    <cfRule type="expression" dxfId="2575" priority="2525" stopIfTrue="1">
      <formula>$A33&lt;1</formula>
    </cfRule>
  </conditionalFormatting>
  <conditionalFormatting sqref="T27:T45">
    <cfRule type="expression" dxfId="2574" priority="2524" stopIfTrue="1">
      <formula>$A27&lt;1</formula>
    </cfRule>
  </conditionalFormatting>
  <conditionalFormatting sqref="T33:T37">
    <cfRule type="expression" dxfId="2573" priority="2523" stopIfTrue="1">
      <formula>$A33&lt;1</formula>
    </cfRule>
  </conditionalFormatting>
  <conditionalFormatting sqref="T27:T45">
    <cfRule type="expression" dxfId="2572" priority="2522" stopIfTrue="1">
      <formula>$A27&lt;1</formula>
    </cfRule>
  </conditionalFormatting>
  <conditionalFormatting sqref="T33:T37">
    <cfRule type="expression" dxfId="2571" priority="2521" stopIfTrue="1">
      <formula>$A33&lt;1</formula>
    </cfRule>
  </conditionalFormatting>
  <conditionalFormatting sqref="T27:T45">
    <cfRule type="expression" dxfId="2570" priority="2520" stopIfTrue="1">
      <formula>$A27&lt;1</formula>
    </cfRule>
  </conditionalFormatting>
  <conditionalFormatting sqref="T33:T37">
    <cfRule type="expression" dxfId="2569" priority="2519" stopIfTrue="1">
      <formula>$A33&lt;1</formula>
    </cfRule>
  </conditionalFormatting>
  <conditionalFormatting sqref="T27:T45">
    <cfRule type="expression" dxfId="2568" priority="2518" stopIfTrue="1">
      <formula>$A27&lt;1</formula>
    </cfRule>
  </conditionalFormatting>
  <conditionalFormatting sqref="T33:T37">
    <cfRule type="expression" dxfId="2567" priority="2517" stopIfTrue="1">
      <formula>$A33&lt;1</formula>
    </cfRule>
  </conditionalFormatting>
  <conditionalFormatting sqref="T27:T45">
    <cfRule type="expression" dxfId="2566" priority="2516" stopIfTrue="1">
      <formula>$A27&lt;1</formula>
    </cfRule>
  </conditionalFormatting>
  <conditionalFormatting sqref="T33:T37">
    <cfRule type="expression" dxfId="2565" priority="2515" stopIfTrue="1">
      <formula>$A33&lt;1</formula>
    </cfRule>
  </conditionalFormatting>
  <conditionalFormatting sqref="T27:T45">
    <cfRule type="expression" dxfId="2564" priority="2514" stopIfTrue="1">
      <formula>$A27&lt;1</formula>
    </cfRule>
  </conditionalFormatting>
  <conditionalFormatting sqref="T33:T37">
    <cfRule type="expression" dxfId="2563" priority="2513" stopIfTrue="1">
      <formula>$A33&lt;1</formula>
    </cfRule>
  </conditionalFormatting>
  <conditionalFormatting sqref="T27:T45">
    <cfRule type="expression" dxfId="2562" priority="2512" stopIfTrue="1">
      <formula>$A27&lt;1</formula>
    </cfRule>
  </conditionalFormatting>
  <conditionalFormatting sqref="T33:T37">
    <cfRule type="expression" dxfId="2561" priority="2511" stopIfTrue="1">
      <formula>$A33&lt;1</formula>
    </cfRule>
  </conditionalFormatting>
  <conditionalFormatting sqref="T27:T45">
    <cfRule type="expression" dxfId="2560" priority="2510" stopIfTrue="1">
      <formula>$A27&lt;1</formula>
    </cfRule>
  </conditionalFormatting>
  <conditionalFormatting sqref="T33:T37">
    <cfRule type="expression" dxfId="2559" priority="2509" stopIfTrue="1">
      <formula>$A33&lt;1</formula>
    </cfRule>
  </conditionalFormatting>
  <conditionalFormatting sqref="T27:T45">
    <cfRule type="expression" dxfId="2558" priority="2508" stopIfTrue="1">
      <formula>$A27&lt;1</formula>
    </cfRule>
  </conditionalFormatting>
  <conditionalFormatting sqref="T33:T37">
    <cfRule type="expression" dxfId="2557" priority="2507" stopIfTrue="1">
      <formula>$A33&lt;1</formula>
    </cfRule>
  </conditionalFormatting>
  <conditionalFormatting sqref="T27:T45">
    <cfRule type="expression" dxfId="2556" priority="2506" stopIfTrue="1">
      <formula>$A27&lt;1</formula>
    </cfRule>
  </conditionalFormatting>
  <conditionalFormatting sqref="T33:T37">
    <cfRule type="expression" dxfId="2555" priority="2505" stopIfTrue="1">
      <formula>$A33&lt;1</formula>
    </cfRule>
  </conditionalFormatting>
  <conditionalFormatting sqref="T27:T45">
    <cfRule type="expression" dxfId="2554" priority="2504" stopIfTrue="1">
      <formula>$A27&lt;1</formula>
    </cfRule>
  </conditionalFormatting>
  <conditionalFormatting sqref="T33:T37">
    <cfRule type="expression" dxfId="2553" priority="2503" stopIfTrue="1">
      <formula>$A33&lt;1</formula>
    </cfRule>
  </conditionalFormatting>
  <conditionalFormatting sqref="T27:T45">
    <cfRule type="expression" dxfId="2552" priority="2502" stopIfTrue="1">
      <formula>$A27&lt;1</formula>
    </cfRule>
  </conditionalFormatting>
  <conditionalFormatting sqref="T33:T37">
    <cfRule type="expression" dxfId="2551" priority="2501" stopIfTrue="1">
      <formula>$A33&lt;1</formula>
    </cfRule>
  </conditionalFormatting>
  <conditionalFormatting sqref="T27:T45">
    <cfRule type="expression" dxfId="2550" priority="2500" stopIfTrue="1">
      <formula>$A27&lt;1</formula>
    </cfRule>
  </conditionalFormatting>
  <conditionalFormatting sqref="T33:T37">
    <cfRule type="expression" dxfId="2549" priority="2499" stopIfTrue="1">
      <formula>$A33&lt;1</formula>
    </cfRule>
  </conditionalFormatting>
  <conditionalFormatting sqref="T27:T45">
    <cfRule type="expression" dxfId="2548" priority="2498" stopIfTrue="1">
      <formula>$A27&lt;1</formula>
    </cfRule>
  </conditionalFormatting>
  <conditionalFormatting sqref="T33:T37">
    <cfRule type="expression" dxfId="2547" priority="2497" stopIfTrue="1">
      <formula>$A33&lt;1</formula>
    </cfRule>
  </conditionalFormatting>
  <conditionalFormatting sqref="T27:T45">
    <cfRule type="expression" dxfId="2546" priority="2496" stopIfTrue="1">
      <formula>$A27&lt;1</formula>
    </cfRule>
  </conditionalFormatting>
  <conditionalFormatting sqref="T33:T37">
    <cfRule type="expression" dxfId="2545" priority="2495" stopIfTrue="1">
      <formula>$A33&lt;1</formula>
    </cfRule>
  </conditionalFormatting>
  <conditionalFormatting sqref="T27:T45">
    <cfRule type="expression" dxfId="2544" priority="2494" stopIfTrue="1">
      <formula>$A27&lt;1</formula>
    </cfRule>
  </conditionalFormatting>
  <conditionalFormatting sqref="T33:T37">
    <cfRule type="expression" dxfId="2543" priority="2493" stopIfTrue="1">
      <formula>$A33&lt;1</formula>
    </cfRule>
  </conditionalFormatting>
  <conditionalFormatting sqref="T27:T45">
    <cfRule type="expression" dxfId="2542" priority="2492" stopIfTrue="1">
      <formula>$A27&lt;1</formula>
    </cfRule>
  </conditionalFormatting>
  <conditionalFormatting sqref="T33:T37">
    <cfRule type="expression" dxfId="2541" priority="2491" stopIfTrue="1">
      <formula>$A33&lt;1</formula>
    </cfRule>
  </conditionalFormatting>
  <conditionalFormatting sqref="T27:T45">
    <cfRule type="expression" dxfId="2540" priority="2490" stopIfTrue="1">
      <formula>$A27&lt;1</formula>
    </cfRule>
  </conditionalFormatting>
  <conditionalFormatting sqref="T33:T37">
    <cfRule type="expression" dxfId="2539" priority="2489" stopIfTrue="1">
      <formula>$A33&lt;1</formula>
    </cfRule>
  </conditionalFormatting>
  <conditionalFormatting sqref="T27:T45">
    <cfRule type="expression" dxfId="2538" priority="2488" stopIfTrue="1">
      <formula>$A27&lt;1</formula>
    </cfRule>
  </conditionalFormatting>
  <conditionalFormatting sqref="T33:T37">
    <cfRule type="expression" dxfId="2537" priority="2487" stopIfTrue="1">
      <formula>$A33&lt;1</formula>
    </cfRule>
  </conditionalFormatting>
  <conditionalFormatting sqref="T27:T45">
    <cfRule type="expression" dxfId="2536" priority="2486" stopIfTrue="1">
      <formula>$A27&lt;1</formula>
    </cfRule>
  </conditionalFormatting>
  <conditionalFormatting sqref="T33:T37">
    <cfRule type="expression" dxfId="2535" priority="2485" stopIfTrue="1">
      <formula>$A33&lt;1</formula>
    </cfRule>
  </conditionalFormatting>
  <conditionalFormatting sqref="T27:T45">
    <cfRule type="expression" dxfId="2534" priority="2484" stopIfTrue="1">
      <formula>$A27&lt;1</formula>
    </cfRule>
  </conditionalFormatting>
  <conditionalFormatting sqref="T33:T37">
    <cfRule type="expression" dxfId="2533" priority="2483" stopIfTrue="1">
      <formula>$A33&lt;1</formula>
    </cfRule>
  </conditionalFormatting>
  <conditionalFormatting sqref="T27:T45">
    <cfRule type="expression" dxfId="2532" priority="2482" stopIfTrue="1">
      <formula>$A27&lt;1</formula>
    </cfRule>
  </conditionalFormatting>
  <conditionalFormatting sqref="T33:T37">
    <cfRule type="expression" dxfId="2531" priority="2481" stopIfTrue="1">
      <formula>$A33&lt;1</formula>
    </cfRule>
  </conditionalFormatting>
  <conditionalFormatting sqref="T27:T45">
    <cfRule type="expression" dxfId="2530" priority="2480" stopIfTrue="1">
      <formula>$A27&lt;1</formula>
    </cfRule>
  </conditionalFormatting>
  <conditionalFormatting sqref="T33:T37">
    <cfRule type="expression" dxfId="2529" priority="2479" stopIfTrue="1">
      <formula>$A33&lt;1</formula>
    </cfRule>
  </conditionalFormatting>
  <conditionalFormatting sqref="T27:T45">
    <cfRule type="expression" dxfId="2528" priority="2478" stopIfTrue="1">
      <formula>$A27&lt;1</formula>
    </cfRule>
  </conditionalFormatting>
  <conditionalFormatting sqref="T33:T37">
    <cfRule type="expression" dxfId="2527" priority="2477" stopIfTrue="1">
      <formula>$A33&lt;1</formula>
    </cfRule>
  </conditionalFormatting>
  <conditionalFormatting sqref="T27:T45">
    <cfRule type="expression" dxfId="2526" priority="2476" stopIfTrue="1">
      <formula>$A27&lt;1</formula>
    </cfRule>
  </conditionalFormatting>
  <conditionalFormatting sqref="T33:T37">
    <cfRule type="expression" dxfId="2525" priority="2475" stopIfTrue="1">
      <formula>$A33&lt;1</formula>
    </cfRule>
  </conditionalFormatting>
  <conditionalFormatting sqref="T27:T45">
    <cfRule type="expression" dxfId="2524" priority="2474" stopIfTrue="1">
      <formula>$A27&lt;1</formula>
    </cfRule>
  </conditionalFormatting>
  <conditionalFormatting sqref="T33:T37">
    <cfRule type="expression" dxfId="2523" priority="2473" stopIfTrue="1">
      <formula>$A33&lt;1</formula>
    </cfRule>
  </conditionalFormatting>
  <conditionalFormatting sqref="T27:T45">
    <cfRule type="expression" dxfId="2522" priority="2472" stopIfTrue="1">
      <formula>$A27&lt;1</formula>
    </cfRule>
  </conditionalFormatting>
  <conditionalFormatting sqref="T33:T37">
    <cfRule type="expression" dxfId="2521" priority="2471" stopIfTrue="1">
      <formula>$A33&lt;1</formula>
    </cfRule>
  </conditionalFormatting>
  <conditionalFormatting sqref="T27:T45">
    <cfRule type="expression" dxfId="2520" priority="2470" stopIfTrue="1">
      <formula>$A27&lt;1</formula>
    </cfRule>
  </conditionalFormatting>
  <conditionalFormatting sqref="T33:T37">
    <cfRule type="expression" dxfId="2519" priority="2469" stopIfTrue="1">
      <formula>$A33&lt;1</formula>
    </cfRule>
  </conditionalFormatting>
  <conditionalFormatting sqref="T27:T45">
    <cfRule type="expression" dxfId="2518" priority="2468" stopIfTrue="1">
      <formula>$A27&lt;1</formula>
    </cfRule>
  </conditionalFormatting>
  <conditionalFormatting sqref="T33:T37">
    <cfRule type="expression" dxfId="2517" priority="2467" stopIfTrue="1">
      <formula>$A33&lt;1</formula>
    </cfRule>
  </conditionalFormatting>
  <conditionalFormatting sqref="T27:T45">
    <cfRule type="expression" dxfId="2516" priority="2466" stopIfTrue="1">
      <formula>$A27&lt;1</formula>
    </cfRule>
  </conditionalFormatting>
  <conditionalFormatting sqref="T33:T37">
    <cfRule type="expression" dxfId="2515" priority="2465" stopIfTrue="1">
      <formula>$A33&lt;1</formula>
    </cfRule>
  </conditionalFormatting>
  <conditionalFormatting sqref="T27:T45">
    <cfRule type="expression" dxfId="2514" priority="2464" stopIfTrue="1">
      <formula>$A27&lt;1</formula>
    </cfRule>
  </conditionalFormatting>
  <conditionalFormatting sqref="T33:T37">
    <cfRule type="expression" dxfId="2513" priority="2463" stopIfTrue="1">
      <formula>$A33&lt;1</formula>
    </cfRule>
  </conditionalFormatting>
  <conditionalFormatting sqref="T27:T45">
    <cfRule type="expression" dxfId="2512" priority="2462" stopIfTrue="1">
      <formula>$A27&lt;1</formula>
    </cfRule>
  </conditionalFormatting>
  <conditionalFormatting sqref="T33:T37">
    <cfRule type="expression" dxfId="2511" priority="2461" stopIfTrue="1">
      <formula>$A33&lt;1</formula>
    </cfRule>
  </conditionalFormatting>
  <conditionalFormatting sqref="T27:T45">
    <cfRule type="expression" dxfId="2510" priority="2460" stopIfTrue="1">
      <formula>$A27&lt;1</formula>
    </cfRule>
  </conditionalFormatting>
  <conditionalFormatting sqref="T33:T37">
    <cfRule type="expression" dxfId="2509" priority="2459" stopIfTrue="1">
      <formula>$A33&lt;1</formula>
    </cfRule>
  </conditionalFormatting>
  <conditionalFormatting sqref="T27:T45">
    <cfRule type="expression" dxfId="2508" priority="2458" stopIfTrue="1">
      <formula>$A27&lt;1</formula>
    </cfRule>
  </conditionalFormatting>
  <conditionalFormatting sqref="T33:T37">
    <cfRule type="expression" dxfId="2507" priority="2457" stopIfTrue="1">
      <formula>$A33&lt;1</formula>
    </cfRule>
  </conditionalFormatting>
  <conditionalFormatting sqref="T27:T45">
    <cfRule type="expression" dxfId="2506" priority="2456" stopIfTrue="1">
      <formula>$A27&lt;1</formula>
    </cfRule>
  </conditionalFormatting>
  <conditionalFormatting sqref="T33:T37">
    <cfRule type="expression" dxfId="2505" priority="2455" stopIfTrue="1">
      <formula>$A33&lt;1</formula>
    </cfRule>
  </conditionalFormatting>
  <conditionalFormatting sqref="T27:T45">
    <cfRule type="expression" dxfId="2504" priority="2454" stopIfTrue="1">
      <formula>$A27&lt;1</formula>
    </cfRule>
  </conditionalFormatting>
  <conditionalFormatting sqref="T33:T37">
    <cfRule type="expression" dxfId="2503" priority="2453" stopIfTrue="1">
      <formula>$A33&lt;1</formula>
    </cfRule>
  </conditionalFormatting>
  <conditionalFormatting sqref="T27:T45">
    <cfRule type="expression" dxfId="2502" priority="2452" stopIfTrue="1">
      <formula>$A27&lt;1</formula>
    </cfRule>
  </conditionalFormatting>
  <conditionalFormatting sqref="T33:T37">
    <cfRule type="expression" dxfId="2501" priority="2451" stopIfTrue="1">
      <formula>$A33&lt;1</formula>
    </cfRule>
  </conditionalFormatting>
  <conditionalFormatting sqref="T27:T45">
    <cfRule type="expression" dxfId="2500" priority="2450" stopIfTrue="1">
      <formula>$A27&lt;1</formula>
    </cfRule>
  </conditionalFormatting>
  <conditionalFormatting sqref="T33:T37">
    <cfRule type="expression" dxfId="2499" priority="2449" stopIfTrue="1">
      <formula>$A33&lt;1</formula>
    </cfRule>
  </conditionalFormatting>
  <conditionalFormatting sqref="T27:T45">
    <cfRule type="expression" dxfId="2498" priority="2448" stopIfTrue="1">
      <formula>$A27&lt;1</formula>
    </cfRule>
  </conditionalFormatting>
  <conditionalFormatting sqref="T33:T37">
    <cfRule type="expression" dxfId="2497" priority="2447" stopIfTrue="1">
      <formula>$A33&lt;1</formula>
    </cfRule>
  </conditionalFormatting>
  <conditionalFormatting sqref="T27:T45">
    <cfRule type="expression" dxfId="2496" priority="2446" stopIfTrue="1">
      <formula>$A27&lt;1</formula>
    </cfRule>
  </conditionalFormatting>
  <conditionalFormatting sqref="T33:T37">
    <cfRule type="expression" dxfId="2495" priority="2445" stopIfTrue="1">
      <formula>$A33&lt;1</formula>
    </cfRule>
  </conditionalFormatting>
  <conditionalFormatting sqref="T27:T45">
    <cfRule type="expression" dxfId="2494" priority="2444" stopIfTrue="1">
      <formula>$A27&lt;1</formula>
    </cfRule>
  </conditionalFormatting>
  <conditionalFormatting sqref="T33:T37">
    <cfRule type="expression" dxfId="2493" priority="2443" stopIfTrue="1">
      <formula>$A33&lt;1</formula>
    </cfRule>
  </conditionalFormatting>
  <conditionalFormatting sqref="T27:T45">
    <cfRule type="expression" dxfId="2492" priority="2442" stopIfTrue="1">
      <formula>$A27&lt;1</formula>
    </cfRule>
  </conditionalFormatting>
  <conditionalFormatting sqref="T33:T37">
    <cfRule type="expression" dxfId="2491" priority="2441" stopIfTrue="1">
      <formula>$A33&lt;1</formula>
    </cfRule>
  </conditionalFormatting>
  <conditionalFormatting sqref="T27:T45">
    <cfRule type="expression" dxfId="2490" priority="2440" stopIfTrue="1">
      <formula>$A27&lt;1</formula>
    </cfRule>
  </conditionalFormatting>
  <conditionalFormatting sqref="T33:T37">
    <cfRule type="expression" dxfId="2489" priority="2439" stopIfTrue="1">
      <formula>$A33&lt;1</formula>
    </cfRule>
  </conditionalFormatting>
  <conditionalFormatting sqref="T27:T45">
    <cfRule type="expression" dxfId="2488" priority="2438" stopIfTrue="1">
      <formula>$A27&lt;1</formula>
    </cfRule>
  </conditionalFormatting>
  <conditionalFormatting sqref="T33:T37">
    <cfRule type="expression" dxfId="2487" priority="2437" stopIfTrue="1">
      <formula>$A33&lt;1</formula>
    </cfRule>
  </conditionalFormatting>
  <conditionalFormatting sqref="T27:T45">
    <cfRule type="expression" dxfId="2486" priority="2436" stopIfTrue="1">
      <formula>$A27&lt;1</formula>
    </cfRule>
  </conditionalFormatting>
  <conditionalFormatting sqref="T33:T37">
    <cfRule type="expression" dxfId="2485" priority="2435" stopIfTrue="1">
      <formula>$A33&lt;1</formula>
    </cfRule>
  </conditionalFormatting>
  <conditionalFormatting sqref="T27:T45">
    <cfRule type="expression" dxfId="2484" priority="2434" stopIfTrue="1">
      <formula>$A27&lt;1</formula>
    </cfRule>
  </conditionalFormatting>
  <conditionalFormatting sqref="T33:T37">
    <cfRule type="expression" dxfId="2483" priority="2433" stopIfTrue="1">
      <formula>$A33&lt;1</formula>
    </cfRule>
  </conditionalFormatting>
  <conditionalFormatting sqref="T27:T45">
    <cfRule type="expression" dxfId="2482" priority="2432" stopIfTrue="1">
      <formula>$A27&lt;1</formula>
    </cfRule>
  </conditionalFormatting>
  <conditionalFormatting sqref="T33:T37">
    <cfRule type="expression" dxfId="2481" priority="2431" stopIfTrue="1">
      <formula>$A33&lt;1</formula>
    </cfRule>
  </conditionalFormatting>
  <conditionalFormatting sqref="T27:T45">
    <cfRule type="expression" dxfId="2480" priority="2430" stopIfTrue="1">
      <formula>$A27&lt;1</formula>
    </cfRule>
  </conditionalFormatting>
  <conditionalFormatting sqref="T33:T37">
    <cfRule type="expression" dxfId="2479" priority="2429" stopIfTrue="1">
      <formula>$A33&lt;1</formula>
    </cfRule>
  </conditionalFormatting>
  <conditionalFormatting sqref="T27:T45">
    <cfRule type="expression" dxfId="2478" priority="2428" stopIfTrue="1">
      <formula>$A27&lt;1</formula>
    </cfRule>
  </conditionalFormatting>
  <conditionalFormatting sqref="T33:T37">
    <cfRule type="expression" dxfId="2477" priority="2427" stopIfTrue="1">
      <formula>$A33&lt;1</formula>
    </cfRule>
  </conditionalFormatting>
  <conditionalFormatting sqref="T27:T45">
    <cfRule type="expression" dxfId="2476" priority="2426" stopIfTrue="1">
      <formula>$A27&lt;1</formula>
    </cfRule>
  </conditionalFormatting>
  <conditionalFormatting sqref="T33:T37">
    <cfRule type="expression" dxfId="2475" priority="2425" stopIfTrue="1">
      <formula>$A33&lt;1</formula>
    </cfRule>
  </conditionalFormatting>
  <conditionalFormatting sqref="T27:T45">
    <cfRule type="expression" dxfId="2474" priority="2424" stopIfTrue="1">
      <formula>$A27&lt;1</formula>
    </cfRule>
  </conditionalFormatting>
  <conditionalFormatting sqref="T33:T37">
    <cfRule type="expression" dxfId="2473" priority="2423" stopIfTrue="1">
      <formula>$A33&lt;1</formula>
    </cfRule>
  </conditionalFormatting>
  <conditionalFormatting sqref="T27:T45">
    <cfRule type="expression" dxfId="2472" priority="2422" stopIfTrue="1">
      <formula>$A27&lt;1</formula>
    </cfRule>
  </conditionalFormatting>
  <conditionalFormatting sqref="T33:T37">
    <cfRule type="expression" dxfId="2471" priority="2421" stopIfTrue="1">
      <formula>$A33&lt;1</formula>
    </cfRule>
  </conditionalFormatting>
  <conditionalFormatting sqref="T27:T45">
    <cfRule type="expression" dxfId="2470" priority="2420" stopIfTrue="1">
      <formula>$A27&lt;1</formula>
    </cfRule>
  </conditionalFormatting>
  <conditionalFormatting sqref="T33:T37">
    <cfRule type="expression" dxfId="2469" priority="2419" stopIfTrue="1">
      <formula>$A33&lt;1</formula>
    </cfRule>
  </conditionalFormatting>
  <conditionalFormatting sqref="T27:T45">
    <cfRule type="expression" dxfId="2468" priority="2418" stopIfTrue="1">
      <formula>$A27&lt;1</formula>
    </cfRule>
  </conditionalFormatting>
  <conditionalFormatting sqref="T33:T37">
    <cfRule type="expression" dxfId="2467" priority="2417" stopIfTrue="1">
      <formula>$A33&lt;1</formula>
    </cfRule>
  </conditionalFormatting>
  <conditionalFormatting sqref="T27:T45">
    <cfRule type="expression" dxfId="2466" priority="2416" stopIfTrue="1">
      <formula>$A27&lt;1</formula>
    </cfRule>
  </conditionalFormatting>
  <conditionalFormatting sqref="T33:T37">
    <cfRule type="expression" dxfId="2465" priority="2415" stopIfTrue="1">
      <formula>$A33&lt;1</formula>
    </cfRule>
  </conditionalFormatting>
  <conditionalFormatting sqref="T27:T45">
    <cfRule type="expression" dxfId="2464" priority="2414" stopIfTrue="1">
      <formula>$A27&lt;1</formula>
    </cfRule>
  </conditionalFormatting>
  <conditionalFormatting sqref="T33:T37">
    <cfRule type="expression" dxfId="2463" priority="2413" stopIfTrue="1">
      <formula>$A33&lt;1</formula>
    </cfRule>
  </conditionalFormatting>
  <conditionalFormatting sqref="T27:T45">
    <cfRule type="expression" dxfId="2462" priority="2412" stopIfTrue="1">
      <formula>$A27&lt;1</formula>
    </cfRule>
  </conditionalFormatting>
  <conditionalFormatting sqref="T33:T37">
    <cfRule type="expression" dxfId="2461" priority="2411" stopIfTrue="1">
      <formula>$A33&lt;1</formula>
    </cfRule>
  </conditionalFormatting>
  <conditionalFormatting sqref="T27:T45">
    <cfRule type="expression" dxfId="2460" priority="2410" stopIfTrue="1">
      <formula>$A27&lt;1</formula>
    </cfRule>
  </conditionalFormatting>
  <conditionalFormatting sqref="T33:T37">
    <cfRule type="expression" dxfId="2459" priority="2409" stopIfTrue="1">
      <formula>$A33&lt;1</formula>
    </cfRule>
  </conditionalFormatting>
  <conditionalFormatting sqref="T27:T45">
    <cfRule type="expression" dxfId="2458" priority="2408" stopIfTrue="1">
      <formula>$A27&lt;1</formula>
    </cfRule>
  </conditionalFormatting>
  <conditionalFormatting sqref="T33:T37">
    <cfRule type="expression" dxfId="2457" priority="2407" stopIfTrue="1">
      <formula>$A33&lt;1</formula>
    </cfRule>
  </conditionalFormatting>
  <conditionalFormatting sqref="T27:T45">
    <cfRule type="expression" dxfId="2456" priority="2406" stopIfTrue="1">
      <formula>$A27&lt;1</formula>
    </cfRule>
  </conditionalFormatting>
  <conditionalFormatting sqref="T33:T37">
    <cfRule type="expression" dxfId="2455" priority="2405" stopIfTrue="1">
      <formula>$A33&lt;1</formula>
    </cfRule>
  </conditionalFormatting>
  <conditionalFormatting sqref="T27:T45">
    <cfRule type="expression" dxfId="2454" priority="2404" stopIfTrue="1">
      <formula>$A27&lt;1</formula>
    </cfRule>
  </conditionalFormatting>
  <conditionalFormatting sqref="T33:T37">
    <cfRule type="expression" dxfId="2453" priority="2403" stopIfTrue="1">
      <formula>$A33&lt;1</formula>
    </cfRule>
  </conditionalFormatting>
  <conditionalFormatting sqref="T27:T45">
    <cfRule type="expression" dxfId="2452" priority="2402" stopIfTrue="1">
      <formula>$A27&lt;1</formula>
    </cfRule>
  </conditionalFormatting>
  <conditionalFormatting sqref="T33:T37">
    <cfRule type="expression" dxfId="2451" priority="2401" stopIfTrue="1">
      <formula>$A33&lt;1</formula>
    </cfRule>
  </conditionalFormatting>
  <conditionalFormatting sqref="T27:T45">
    <cfRule type="expression" dxfId="2450" priority="2400" stopIfTrue="1">
      <formula>$A27&lt;1</formula>
    </cfRule>
  </conditionalFormatting>
  <conditionalFormatting sqref="T33:T37">
    <cfRule type="expression" dxfId="2449" priority="2399" stopIfTrue="1">
      <formula>$A33&lt;1</formula>
    </cfRule>
  </conditionalFormatting>
  <conditionalFormatting sqref="T27:T45">
    <cfRule type="expression" dxfId="2448" priority="2398" stopIfTrue="1">
      <formula>$A27&lt;1</formula>
    </cfRule>
  </conditionalFormatting>
  <conditionalFormatting sqref="T33:T37">
    <cfRule type="expression" dxfId="2447" priority="2397" stopIfTrue="1">
      <formula>$A33&lt;1</formula>
    </cfRule>
  </conditionalFormatting>
  <conditionalFormatting sqref="T27:T45">
    <cfRule type="expression" dxfId="2446" priority="2396" stopIfTrue="1">
      <formula>$A27&lt;1</formula>
    </cfRule>
  </conditionalFormatting>
  <conditionalFormatting sqref="T33:T37">
    <cfRule type="expression" dxfId="2445" priority="2395" stopIfTrue="1">
      <formula>$A33&lt;1</formula>
    </cfRule>
  </conditionalFormatting>
  <conditionalFormatting sqref="T27:T45">
    <cfRule type="expression" dxfId="2444" priority="2394" stopIfTrue="1">
      <formula>$A27&lt;1</formula>
    </cfRule>
  </conditionalFormatting>
  <conditionalFormatting sqref="T33:T37">
    <cfRule type="expression" dxfId="2443" priority="2393" stopIfTrue="1">
      <formula>$A33&lt;1</formula>
    </cfRule>
  </conditionalFormatting>
  <conditionalFormatting sqref="T27:T45">
    <cfRule type="expression" dxfId="2442" priority="2392" stopIfTrue="1">
      <formula>$A27&lt;1</formula>
    </cfRule>
  </conditionalFormatting>
  <conditionalFormatting sqref="T33:T37">
    <cfRule type="expression" dxfId="2441" priority="2391" stopIfTrue="1">
      <formula>$A33&lt;1</formula>
    </cfRule>
  </conditionalFormatting>
  <conditionalFormatting sqref="T27:T45">
    <cfRule type="expression" dxfId="2440" priority="2390" stopIfTrue="1">
      <formula>$A27&lt;1</formula>
    </cfRule>
  </conditionalFormatting>
  <conditionalFormatting sqref="T33:T37">
    <cfRule type="expression" dxfId="2439" priority="2389" stopIfTrue="1">
      <formula>$A33&lt;1</formula>
    </cfRule>
  </conditionalFormatting>
  <conditionalFormatting sqref="T27:T45">
    <cfRule type="expression" dxfId="2438" priority="2388" stopIfTrue="1">
      <formula>$A27&lt;1</formula>
    </cfRule>
  </conditionalFormatting>
  <conditionalFormatting sqref="T33:T37">
    <cfRule type="expression" dxfId="2437" priority="2387" stopIfTrue="1">
      <formula>$A33&lt;1</formula>
    </cfRule>
  </conditionalFormatting>
  <conditionalFormatting sqref="T27:T45">
    <cfRule type="expression" dxfId="2436" priority="2386" stopIfTrue="1">
      <formula>$A27&lt;1</formula>
    </cfRule>
  </conditionalFormatting>
  <conditionalFormatting sqref="T33:T37">
    <cfRule type="expression" dxfId="2435" priority="2385" stopIfTrue="1">
      <formula>$A33&lt;1</formula>
    </cfRule>
  </conditionalFormatting>
  <conditionalFormatting sqref="T27:T45">
    <cfRule type="expression" dxfId="2434" priority="2384" stopIfTrue="1">
      <formula>$A27&lt;1</formula>
    </cfRule>
  </conditionalFormatting>
  <conditionalFormatting sqref="T33:T37">
    <cfRule type="expression" dxfId="2433" priority="2383" stopIfTrue="1">
      <formula>$A33&lt;1</formula>
    </cfRule>
  </conditionalFormatting>
  <conditionalFormatting sqref="T27:T45">
    <cfRule type="expression" dxfId="2432" priority="2382" stopIfTrue="1">
      <formula>$A27&lt;1</formula>
    </cfRule>
  </conditionalFormatting>
  <conditionalFormatting sqref="T33:T37">
    <cfRule type="expression" dxfId="2431" priority="2381" stopIfTrue="1">
      <formula>$A33&lt;1</formula>
    </cfRule>
  </conditionalFormatting>
  <conditionalFormatting sqref="T27:T45">
    <cfRule type="expression" dxfId="2430" priority="2380" stopIfTrue="1">
      <formula>$A27&lt;1</formula>
    </cfRule>
  </conditionalFormatting>
  <conditionalFormatting sqref="T33:T37">
    <cfRule type="expression" dxfId="2429" priority="2379" stopIfTrue="1">
      <formula>$A33&lt;1</formula>
    </cfRule>
  </conditionalFormatting>
  <conditionalFormatting sqref="T27:T45">
    <cfRule type="expression" dxfId="2428" priority="2378" stopIfTrue="1">
      <formula>$A27&lt;1</formula>
    </cfRule>
  </conditionalFormatting>
  <conditionalFormatting sqref="T33:T37">
    <cfRule type="expression" dxfId="2427" priority="2377" stopIfTrue="1">
      <formula>$A33&lt;1</formula>
    </cfRule>
  </conditionalFormatting>
  <conditionalFormatting sqref="T27:T45">
    <cfRule type="expression" dxfId="2426" priority="2376" stopIfTrue="1">
      <formula>$A27&lt;1</formula>
    </cfRule>
  </conditionalFormatting>
  <conditionalFormatting sqref="T33:T37">
    <cfRule type="expression" dxfId="2425" priority="2375" stopIfTrue="1">
      <formula>$A33&lt;1</formula>
    </cfRule>
  </conditionalFormatting>
  <conditionalFormatting sqref="T27:T45">
    <cfRule type="expression" dxfId="2424" priority="2374" stopIfTrue="1">
      <formula>$A27&lt;1</formula>
    </cfRule>
  </conditionalFormatting>
  <conditionalFormatting sqref="T33:T37">
    <cfRule type="expression" dxfId="2423" priority="2373" stopIfTrue="1">
      <formula>$A33&lt;1</formula>
    </cfRule>
  </conditionalFormatting>
  <conditionalFormatting sqref="T27:T45">
    <cfRule type="expression" dxfId="2422" priority="2372" stopIfTrue="1">
      <formula>$A27&lt;1</formula>
    </cfRule>
  </conditionalFormatting>
  <conditionalFormatting sqref="T33:T37">
    <cfRule type="expression" dxfId="2421" priority="2371" stopIfTrue="1">
      <formula>$A33&lt;1</formula>
    </cfRule>
  </conditionalFormatting>
  <conditionalFormatting sqref="T27:T45">
    <cfRule type="expression" dxfId="2420" priority="2370" stopIfTrue="1">
      <formula>$A27&lt;1</formula>
    </cfRule>
  </conditionalFormatting>
  <conditionalFormatting sqref="T33:T37">
    <cfRule type="expression" dxfId="2419" priority="2369" stopIfTrue="1">
      <formula>$A33&lt;1</formula>
    </cfRule>
  </conditionalFormatting>
  <conditionalFormatting sqref="T27:T45">
    <cfRule type="expression" dxfId="2418" priority="2368" stopIfTrue="1">
      <formula>$A27&lt;1</formula>
    </cfRule>
  </conditionalFormatting>
  <conditionalFormatting sqref="T33:T37">
    <cfRule type="expression" dxfId="2417" priority="2367" stopIfTrue="1">
      <formula>$A33&lt;1</formula>
    </cfRule>
  </conditionalFormatting>
  <conditionalFormatting sqref="T27:T45">
    <cfRule type="expression" dxfId="2416" priority="2366" stopIfTrue="1">
      <formula>$A27&lt;1</formula>
    </cfRule>
  </conditionalFormatting>
  <conditionalFormatting sqref="T33:T37">
    <cfRule type="expression" dxfId="2415" priority="2365" stopIfTrue="1">
      <formula>$A33&lt;1</formula>
    </cfRule>
  </conditionalFormatting>
  <conditionalFormatting sqref="T27:T45">
    <cfRule type="expression" dxfId="2414" priority="2364" stopIfTrue="1">
      <formula>$A27&lt;1</formula>
    </cfRule>
  </conditionalFormatting>
  <conditionalFormatting sqref="T33:T37">
    <cfRule type="expression" dxfId="2413" priority="2363" stopIfTrue="1">
      <formula>$A33&lt;1</formula>
    </cfRule>
  </conditionalFormatting>
  <conditionalFormatting sqref="T27:T45">
    <cfRule type="expression" dxfId="2412" priority="2362" stopIfTrue="1">
      <formula>$A27&lt;1</formula>
    </cfRule>
  </conditionalFormatting>
  <conditionalFormatting sqref="T33:T37">
    <cfRule type="expression" dxfId="2411" priority="2361" stopIfTrue="1">
      <formula>$A33&lt;1</formula>
    </cfRule>
  </conditionalFormatting>
  <conditionalFormatting sqref="T27:T45">
    <cfRule type="expression" dxfId="2410" priority="2360" stopIfTrue="1">
      <formula>$A27&lt;1</formula>
    </cfRule>
  </conditionalFormatting>
  <conditionalFormatting sqref="T33:T37">
    <cfRule type="expression" dxfId="2409" priority="2359" stopIfTrue="1">
      <formula>$A33&lt;1</formula>
    </cfRule>
  </conditionalFormatting>
  <conditionalFormatting sqref="T27:T45">
    <cfRule type="expression" dxfId="2408" priority="2358" stopIfTrue="1">
      <formula>$A27&lt;1</formula>
    </cfRule>
  </conditionalFormatting>
  <conditionalFormatting sqref="T33:T37">
    <cfRule type="expression" dxfId="2407" priority="2357" stopIfTrue="1">
      <formula>$A33&lt;1</formula>
    </cfRule>
  </conditionalFormatting>
  <conditionalFormatting sqref="T27:T45">
    <cfRule type="expression" dxfId="2406" priority="2356" stopIfTrue="1">
      <formula>$A27&lt;1</formula>
    </cfRule>
  </conditionalFormatting>
  <conditionalFormatting sqref="T33:T37">
    <cfRule type="expression" dxfId="2405" priority="2355" stopIfTrue="1">
      <formula>$A33&lt;1</formula>
    </cfRule>
  </conditionalFormatting>
  <conditionalFormatting sqref="T27:T45">
    <cfRule type="expression" dxfId="2404" priority="2354" stopIfTrue="1">
      <formula>$A27&lt;1</formula>
    </cfRule>
  </conditionalFormatting>
  <conditionalFormatting sqref="T33:T37">
    <cfRule type="expression" dxfId="2403" priority="2353" stopIfTrue="1">
      <formula>$A33&lt;1</formula>
    </cfRule>
  </conditionalFormatting>
  <conditionalFormatting sqref="T27:T45">
    <cfRule type="expression" dxfId="2402" priority="2352" stopIfTrue="1">
      <formula>$A27&lt;1</formula>
    </cfRule>
  </conditionalFormatting>
  <conditionalFormatting sqref="T33:T37">
    <cfRule type="expression" dxfId="2401" priority="2351" stopIfTrue="1">
      <formula>$A33&lt;1</formula>
    </cfRule>
  </conditionalFormatting>
  <conditionalFormatting sqref="T27:T45">
    <cfRule type="expression" dxfId="2400" priority="2350" stopIfTrue="1">
      <formula>$A27&lt;1</formula>
    </cfRule>
  </conditionalFormatting>
  <conditionalFormatting sqref="T33:T37">
    <cfRule type="expression" dxfId="2399" priority="2349" stopIfTrue="1">
      <formula>$A33&lt;1</formula>
    </cfRule>
  </conditionalFormatting>
  <conditionalFormatting sqref="T27:T45">
    <cfRule type="expression" dxfId="2398" priority="2348" stopIfTrue="1">
      <formula>$A27&lt;1</formula>
    </cfRule>
  </conditionalFormatting>
  <conditionalFormatting sqref="T33:T37">
    <cfRule type="expression" dxfId="2397" priority="2347" stopIfTrue="1">
      <formula>$A33&lt;1</formula>
    </cfRule>
  </conditionalFormatting>
  <conditionalFormatting sqref="T27:T45">
    <cfRule type="expression" dxfId="2396" priority="2346" stopIfTrue="1">
      <formula>$A27&lt;1</formula>
    </cfRule>
  </conditionalFormatting>
  <conditionalFormatting sqref="T33:T37">
    <cfRule type="expression" dxfId="2395" priority="2345" stopIfTrue="1">
      <formula>$A33&lt;1</formula>
    </cfRule>
  </conditionalFormatting>
  <conditionalFormatting sqref="T27:T45">
    <cfRule type="expression" dxfId="2394" priority="2344" stopIfTrue="1">
      <formula>$A27&lt;1</formula>
    </cfRule>
  </conditionalFormatting>
  <conditionalFormatting sqref="T33:T37">
    <cfRule type="expression" dxfId="2393" priority="2343" stopIfTrue="1">
      <formula>$A33&lt;1</formula>
    </cfRule>
  </conditionalFormatting>
  <conditionalFormatting sqref="T27:T45">
    <cfRule type="expression" dxfId="2392" priority="2342" stopIfTrue="1">
      <formula>$A27&lt;1</formula>
    </cfRule>
  </conditionalFormatting>
  <conditionalFormatting sqref="T33:T37">
    <cfRule type="expression" dxfId="2391" priority="2341" stopIfTrue="1">
      <formula>$A33&lt;1</formula>
    </cfRule>
  </conditionalFormatting>
  <conditionalFormatting sqref="T27:T45">
    <cfRule type="expression" dxfId="2390" priority="2340" stopIfTrue="1">
      <formula>$A27&lt;1</formula>
    </cfRule>
  </conditionalFormatting>
  <conditionalFormatting sqref="T33:T37">
    <cfRule type="expression" dxfId="2389" priority="2339" stopIfTrue="1">
      <formula>$A33&lt;1</formula>
    </cfRule>
  </conditionalFormatting>
  <conditionalFormatting sqref="T27:T45">
    <cfRule type="expression" dxfId="2388" priority="2338" stopIfTrue="1">
      <formula>$A27&lt;1</formula>
    </cfRule>
  </conditionalFormatting>
  <conditionalFormatting sqref="T33:T37">
    <cfRule type="expression" dxfId="2387" priority="2337" stopIfTrue="1">
      <formula>$A33&lt;1</formula>
    </cfRule>
  </conditionalFormatting>
  <conditionalFormatting sqref="T27:T45">
    <cfRule type="expression" dxfId="2386" priority="2336" stopIfTrue="1">
      <formula>$A27&lt;1</formula>
    </cfRule>
  </conditionalFormatting>
  <conditionalFormatting sqref="T33:T37">
    <cfRule type="expression" dxfId="2385" priority="2335" stopIfTrue="1">
      <formula>$A33&lt;1</formula>
    </cfRule>
  </conditionalFormatting>
  <conditionalFormatting sqref="T27:T45">
    <cfRule type="expression" dxfId="2384" priority="2334" stopIfTrue="1">
      <formula>$A27&lt;1</formula>
    </cfRule>
  </conditionalFormatting>
  <conditionalFormatting sqref="T33:T37">
    <cfRule type="expression" dxfId="2383" priority="2333" stopIfTrue="1">
      <formula>$A33&lt;1</formula>
    </cfRule>
  </conditionalFormatting>
  <conditionalFormatting sqref="T27:T45">
    <cfRule type="expression" dxfId="2382" priority="2332" stopIfTrue="1">
      <formula>$A27&lt;1</formula>
    </cfRule>
  </conditionalFormatting>
  <conditionalFormatting sqref="T33:T37">
    <cfRule type="expression" dxfId="2381" priority="2331" stopIfTrue="1">
      <formula>$A33&lt;1</formula>
    </cfRule>
  </conditionalFormatting>
  <conditionalFormatting sqref="T27:T45">
    <cfRule type="expression" dxfId="2380" priority="2330" stopIfTrue="1">
      <formula>$A27&lt;1</formula>
    </cfRule>
  </conditionalFormatting>
  <conditionalFormatting sqref="T33:T37">
    <cfRule type="expression" dxfId="2379" priority="2329" stopIfTrue="1">
      <formula>$A33&lt;1</formula>
    </cfRule>
  </conditionalFormatting>
  <conditionalFormatting sqref="T27:T45">
    <cfRule type="expression" dxfId="2378" priority="2328" stopIfTrue="1">
      <formula>$A27&lt;1</formula>
    </cfRule>
  </conditionalFormatting>
  <conditionalFormatting sqref="T33:T37">
    <cfRule type="expression" dxfId="2377" priority="2327" stopIfTrue="1">
      <formula>$A33&lt;1</formula>
    </cfRule>
  </conditionalFormatting>
  <conditionalFormatting sqref="T27:T45">
    <cfRule type="expression" dxfId="2376" priority="2326" stopIfTrue="1">
      <formula>$A27&lt;1</formula>
    </cfRule>
  </conditionalFormatting>
  <conditionalFormatting sqref="T33:T37">
    <cfRule type="expression" dxfId="2375" priority="2325" stopIfTrue="1">
      <formula>$A33&lt;1</formula>
    </cfRule>
  </conditionalFormatting>
  <conditionalFormatting sqref="T27:T45">
    <cfRule type="expression" dxfId="2374" priority="2324" stopIfTrue="1">
      <formula>$A27&lt;1</formula>
    </cfRule>
  </conditionalFormatting>
  <conditionalFormatting sqref="T33:T37">
    <cfRule type="expression" dxfId="2373" priority="2323" stopIfTrue="1">
      <formula>$A33&lt;1</formula>
    </cfRule>
  </conditionalFormatting>
  <conditionalFormatting sqref="T27:T45">
    <cfRule type="expression" dxfId="2372" priority="2322" stopIfTrue="1">
      <formula>$A27&lt;1</formula>
    </cfRule>
  </conditionalFormatting>
  <conditionalFormatting sqref="T33:T37">
    <cfRule type="expression" dxfId="2371" priority="2321" stopIfTrue="1">
      <formula>$A33&lt;1</formula>
    </cfRule>
  </conditionalFormatting>
  <conditionalFormatting sqref="T27:T45">
    <cfRule type="expression" dxfId="2370" priority="2320" stopIfTrue="1">
      <formula>$A27&lt;1</formula>
    </cfRule>
  </conditionalFormatting>
  <conditionalFormatting sqref="T33:T37">
    <cfRule type="expression" dxfId="2369" priority="2319" stopIfTrue="1">
      <formula>$A33&lt;1</formula>
    </cfRule>
  </conditionalFormatting>
  <conditionalFormatting sqref="T27:T45">
    <cfRule type="expression" dxfId="2368" priority="2318" stopIfTrue="1">
      <formula>$A27&lt;1</formula>
    </cfRule>
  </conditionalFormatting>
  <conditionalFormatting sqref="T33:T37">
    <cfRule type="expression" dxfId="2367" priority="2317" stopIfTrue="1">
      <formula>$A33&lt;1</formula>
    </cfRule>
  </conditionalFormatting>
  <conditionalFormatting sqref="T27:T45">
    <cfRule type="expression" dxfId="2366" priority="2316" stopIfTrue="1">
      <formula>$A27&lt;1</formula>
    </cfRule>
  </conditionalFormatting>
  <conditionalFormatting sqref="T33:T37">
    <cfRule type="expression" dxfId="2365" priority="2315" stopIfTrue="1">
      <formula>$A33&lt;1</formula>
    </cfRule>
  </conditionalFormatting>
  <conditionalFormatting sqref="T27:T45">
    <cfRule type="expression" dxfId="2364" priority="2314" stopIfTrue="1">
      <formula>$A27&lt;1</formula>
    </cfRule>
  </conditionalFormatting>
  <conditionalFormatting sqref="T33:T37">
    <cfRule type="expression" dxfId="2363" priority="2313" stopIfTrue="1">
      <formula>$A33&lt;1</formula>
    </cfRule>
  </conditionalFormatting>
  <conditionalFormatting sqref="T27:T45">
    <cfRule type="expression" dxfId="2362" priority="2312" stopIfTrue="1">
      <formula>$A27&lt;1</formula>
    </cfRule>
  </conditionalFormatting>
  <conditionalFormatting sqref="T33:T37">
    <cfRule type="expression" dxfId="2361" priority="2311" stopIfTrue="1">
      <formula>$A33&lt;1</formula>
    </cfRule>
  </conditionalFormatting>
  <conditionalFormatting sqref="T27:T45">
    <cfRule type="expression" dxfId="2360" priority="2310" stopIfTrue="1">
      <formula>$A27&lt;1</formula>
    </cfRule>
  </conditionalFormatting>
  <conditionalFormatting sqref="T33:T37">
    <cfRule type="expression" dxfId="2359" priority="2309" stopIfTrue="1">
      <formula>$A33&lt;1</formula>
    </cfRule>
  </conditionalFormatting>
  <conditionalFormatting sqref="T27:T45">
    <cfRule type="expression" dxfId="2358" priority="2308" stopIfTrue="1">
      <formula>$A27&lt;1</formula>
    </cfRule>
  </conditionalFormatting>
  <conditionalFormatting sqref="T33:T37">
    <cfRule type="expression" dxfId="2357" priority="2307" stopIfTrue="1">
      <formula>$A33&lt;1</formula>
    </cfRule>
  </conditionalFormatting>
  <conditionalFormatting sqref="T27:T45">
    <cfRule type="expression" dxfId="2356" priority="2306" stopIfTrue="1">
      <formula>$A27&lt;1</formula>
    </cfRule>
  </conditionalFormatting>
  <conditionalFormatting sqref="T33:T37">
    <cfRule type="expression" dxfId="2355" priority="2305" stopIfTrue="1">
      <formula>$A33&lt;1</formula>
    </cfRule>
  </conditionalFormatting>
  <conditionalFormatting sqref="T27:T45">
    <cfRule type="expression" dxfId="2354" priority="2304" stopIfTrue="1">
      <formula>$A27&lt;1</formula>
    </cfRule>
  </conditionalFormatting>
  <conditionalFormatting sqref="T33:T37">
    <cfRule type="expression" dxfId="2353" priority="2303" stopIfTrue="1">
      <formula>$A33&lt;1</formula>
    </cfRule>
  </conditionalFormatting>
  <conditionalFormatting sqref="T27:T45">
    <cfRule type="expression" dxfId="2352" priority="2302" stopIfTrue="1">
      <formula>$A27&lt;1</formula>
    </cfRule>
  </conditionalFormatting>
  <conditionalFormatting sqref="T33:T37">
    <cfRule type="expression" dxfId="2351" priority="2301" stopIfTrue="1">
      <formula>$A33&lt;1</formula>
    </cfRule>
  </conditionalFormatting>
  <conditionalFormatting sqref="T27:T45">
    <cfRule type="expression" dxfId="2350" priority="2300" stopIfTrue="1">
      <formula>$A27&lt;1</formula>
    </cfRule>
  </conditionalFormatting>
  <conditionalFormatting sqref="T33:T37">
    <cfRule type="expression" dxfId="2349" priority="2299" stopIfTrue="1">
      <formula>$A33&lt;1</formula>
    </cfRule>
  </conditionalFormatting>
  <conditionalFormatting sqref="T27:T45">
    <cfRule type="expression" dxfId="2348" priority="2298" stopIfTrue="1">
      <formula>$A27&lt;1</formula>
    </cfRule>
  </conditionalFormatting>
  <conditionalFormatting sqref="T33:T37">
    <cfRule type="expression" dxfId="2347" priority="2297" stopIfTrue="1">
      <formula>$A33&lt;1</formula>
    </cfRule>
  </conditionalFormatting>
  <conditionalFormatting sqref="T27:T45">
    <cfRule type="expression" dxfId="2346" priority="2296" stopIfTrue="1">
      <formula>$A27&lt;1</formula>
    </cfRule>
  </conditionalFormatting>
  <conditionalFormatting sqref="T33:T37">
    <cfRule type="expression" dxfId="2345" priority="2295" stopIfTrue="1">
      <formula>$A33&lt;1</formula>
    </cfRule>
  </conditionalFormatting>
  <conditionalFormatting sqref="T27:T45">
    <cfRule type="expression" dxfId="2344" priority="2294" stopIfTrue="1">
      <formula>$A27&lt;1</formula>
    </cfRule>
  </conditionalFormatting>
  <conditionalFormatting sqref="T33:T37">
    <cfRule type="expression" dxfId="2343" priority="2293" stopIfTrue="1">
      <formula>$A33&lt;1</formula>
    </cfRule>
  </conditionalFormatting>
  <conditionalFormatting sqref="T27:T45">
    <cfRule type="expression" dxfId="2342" priority="2292" stopIfTrue="1">
      <formula>$A27&lt;1</formula>
    </cfRule>
  </conditionalFormatting>
  <conditionalFormatting sqref="T33:T37">
    <cfRule type="expression" dxfId="2341" priority="2291" stopIfTrue="1">
      <formula>$A33&lt;1</formula>
    </cfRule>
  </conditionalFormatting>
  <conditionalFormatting sqref="T27:T45">
    <cfRule type="expression" dxfId="2340" priority="2290" stopIfTrue="1">
      <formula>$A27&lt;1</formula>
    </cfRule>
  </conditionalFormatting>
  <conditionalFormatting sqref="T33:T37">
    <cfRule type="expression" dxfId="2339" priority="2289" stopIfTrue="1">
      <formula>$A33&lt;1</formula>
    </cfRule>
  </conditionalFormatting>
  <conditionalFormatting sqref="T27:T45">
    <cfRule type="expression" dxfId="2338" priority="2288" stopIfTrue="1">
      <formula>$A27&lt;1</formula>
    </cfRule>
  </conditionalFormatting>
  <conditionalFormatting sqref="T33:T37">
    <cfRule type="expression" dxfId="2337" priority="2287" stopIfTrue="1">
      <formula>$A33&lt;1</formula>
    </cfRule>
  </conditionalFormatting>
  <conditionalFormatting sqref="T27:T45">
    <cfRule type="expression" dxfId="2336" priority="2286" stopIfTrue="1">
      <formula>$A27&lt;1</formula>
    </cfRule>
  </conditionalFormatting>
  <conditionalFormatting sqref="T33:T37">
    <cfRule type="expression" dxfId="2335" priority="2285" stopIfTrue="1">
      <formula>$A33&lt;1</formula>
    </cfRule>
  </conditionalFormatting>
  <conditionalFormatting sqref="T27:T45">
    <cfRule type="expression" dxfId="2334" priority="2284" stopIfTrue="1">
      <formula>$A27&lt;1</formula>
    </cfRule>
  </conditionalFormatting>
  <conditionalFormatting sqref="T33:T37">
    <cfRule type="expression" dxfId="2333" priority="2283" stopIfTrue="1">
      <formula>$A33&lt;1</formula>
    </cfRule>
  </conditionalFormatting>
  <conditionalFormatting sqref="T27:T45">
    <cfRule type="expression" dxfId="2332" priority="2282" stopIfTrue="1">
      <formula>$A27&lt;1</formula>
    </cfRule>
  </conditionalFormatting>
  <conditionalFormatting sqref="T33:T37">
    <cfRule type="expression" dxfId="2331" priority="2281" stopIfTrue="1">
      <formula>$A33&lt;1</formula>
    </cfRule>
  </conditionalFormatting>
  <conditionalFormatting sqref="T27:T45">
    <cfRule type="expression" dxfId="2330" priority="2280" stopIfTrue="1">
      <formula>$A27&lt;1</formula>
    </cfRule>
  </conditionalFormatting>
  <conditionalFormatting sqref="T33:T37">
    <cfRule type="expression" dxfId="2329" priority="2279" stopIfTrue="1">
      <formula>$A33&lt;1</formula>
    </cfRule>
  </conditionalFormatting>
  <conditionalFormatting sqref="T27:T45">
    <cfRule type="expression" dxfId="2328" priority="2278" stopIfTrue="1">
      <formula>$A27&lt;1</formula>
    </cfRule>
  </conditionalFormatting>
  <conditionalFormatting sqref="T33:T37">
    <cfRule type="expression" dxfId="2327" priority="2277" stopIfTrue="1">
      <formula>$A33&lt;1</formula>
    </cfRule>
  </conditionalFormatting>
  <conditionalFormatting sqref="T27:T45">
    <cfRule type="expression" dxfId="2326" priority="2276" stopIfTrue="1">
      <formula>$A27&lt;1</formula>
    </cfRule>
  </conditionalFormatting>
  <conditionalFormatting sqref="T33:T37">
    <cfRule type="expression" dxfId="2325" priority="2275" stopIfTrue="1">
      <formula>$A33&lt;1</formula>
    </cfRule>
  </conditionalFormatting>
  <conditionalFormatting sqref="T27:T45">
    <cfRule type="expression" dxfId="2324" priority="2274" stopIfTrue="1">
      <formula>$A27&lt;1</formula>
    </cfRule>
  </conditionalFormatting>
  <conditionalFormatting sqref="T33:T37">
    <cfRule type="expression" dxfId="2323" priority="2273" stopIfTrue="1">
      <formula>$A33&lt;1</formula>
    </cfRule>
  </conditionalFormatting>
  <conditionalFormatting sqref="T27:T45">
    <cfRule type="expression" dxfId="2322" priority="2272" stopIfTrue="1">
      <formula>$A27&lt;1</formula>
    </cfRule>
  </conditionalFormatting>
  <conditionalFormatting sqref="T33:T37">
    <cfRule type="expression" dxfId="2321" priority="2271" stopIfTrue="1">
      <formula>$A33&lt;1</formula>
    </cfRule>
  </conditionalFormatting>
  <conditionalFormatting sqref="T27:T45">
    <cfRule type="expression" dxfId="2320" priority="2270" stopIfTrue="1">
      <formula>$A27&lt;1</formula>
    </cfRule>
  </conditionalFormatting>
  <conditionalFormatting sqref="T33:T37">
    <cfRule type="expression" dxfId="2319" priority="2269" stopIfTrue="1">
      <formula>$A33&lt;1</formula>
    </cfRule>
  </conditionalFormatting>
  <conditionalFormatting sqref="T27:T45">
    <cfRule type="expression" dxfId="2318" priority="2268" stopIfTrue="1">
      <formula>$A27&lt;1</formula>
    </cfRule>
  </conditionalFormatting>
  <conditionalFormatting sqref="T33:T37">
    <cfRule type="expression" dxfId="2317" priority="2267" stopIfTrue="1">
      <formula>$A33&lt;1</formula>
    </cfRule>
  </conditionalFormatting>
  <conditionalFormatting sqref="T27:T45">
    <cfRule type="expression" dxfId="2316" priority="2266" stopIfTrue="1">
      <formula>$A27&lt;1</formula>
    </cfRule>
  </conditionalFormatting>
  <conditionalFormatting sqref="T33:T37">
    <cfRule type="expression" dxfId="2315" priority="2265" stopIfTrue="1">
      <formula>$A33&lt;1</formula>
    </cfRule>
  </conditionalFormatting>
  <conditionalFormatting sqref="T27:T45">
    <cfRule type="expression" dxfId="2314" priority="2264" stopIfTrue="1">
      <formula>$A27&lt;1</formula>
    </cfRule>
  </conditionalFormatting>
  <conditionalFormatting sqref="T33:T37">
    <cfRule type="expression" dxfId="2313" priority="2263" stopIfTrue="1">
      <formula>$A33&lt;1</formula>
    </cfRule>
  </conditionalFormatting>
  <conditionalFormatting sqref="T27:T45">
    <cfRule type="expression" dxfId="2312" priority="2262" stopIfTrue="1">
      <formula>$A27&lt;1</formula>
    </cfRule>
  </conditionalFormatting>
  <conditionalFormatting sqref="T33:T37">
    <cfRule type="expression" dxfId="2311" priority="2261" stopIfTrue="1">
      <formula>$A33&lt;1</formula>
    </cfRule>
  </conditionalFormatting>
  <conditionalFormatting sqref="T27:T45">
    <cfRule type="expression" dxfId="2310" priority="2260" stopIfTrue="1">
      <formula>$A27&lt;1</formula>
    </cfRule>
  </conditionalFormatting>
  <conditionalFormatting sqref="T33:T37">
    <cfRule type="expression" dxfId="2309" priority="2259" stopIfTrue="1">
      <formula>$A33&lt;1</formula>
    </cfRule>
  </conditionalFormatting>
  <conditionalFormatting sqref="T27:T45">
    <cfRule type="expression" dxfId="2308" priority="2258" stopIfTrue="1">
      <formula>$A27&lt;1</formula>
    </cfRule>
  </conditionalFormatting>
  <conditionalFormatting sqref="T33:T37">
    <cfRule type="expression" dxfId="2307" priority="2257" stopIfTrue="1">
      <formula>$A33&lt;1</formula>
    </cfRule>
  </conditionalFormatting>
  <conditionalFormatting sqref="T27:T45">
    <cfRule type="expression" dxfId="2306" priority="2256" stopIfTrue="1">
      <formula>$A27&lt;1</formula>
    </cfRule>
  </conditionalFormatting>
  <conditionalFormatting sqref="T33:T37">
    <cfRule type="expression" dxfId="2305" priority="2255" stopIfTrue="1">
      <formula>$A33&lt;1</formula>
    </cfRule>
  </conditionalFormatting>
  <conditionalFormatting sqref="T27:T45">
    <cfRule type="expression" dxfId="2304" priority="2254" stopIfTrue="1">
      <formula>$A27&lt;1</formula>
    </cfRule>
  </conditionalFormatting>
  <conditionalFormatting sqref="T33:T37">
    <cfRule type="expression" dxfId="2303" priority="2253" stopIfTrue="1">
      <formula>$A33&lt;1</formula>
    </cfRule>
  </conditionalFormatting>
  <conditionalFormatting sqref="T27:T45">
    <cfRule type="expression" dxfId="2302" priority="2252" stopIfTrue="1">
      <formula>$A27&lt;1</formula>
    </cfRule>
  </conditionalFormatting>
  <conditionalFormatting sqref="T33:T37">
    <cfRule type="expression" dxfId="2301" priority="2251" stopIfTrue="1">
      <formula>$A33&lt;1</formula>
    </cfRule>
  </conditionalFormatting>
  <conditionalFormatting sqref="T27:T45">
    <cfRule type="expression" dxfId="2300" priority="2250" stopIfTrue="1">
      <formula>$A27&lt;1</formula>
    </cfRule>
  </conditionalFormatting>
  <conditionalFormatting sqref="T33:T37">
    <cfRule type="expression" dxfId="2299" priority="2249" stopIfTrue="1">
      <formula>$A33&lt;1</formula>
    </cfRule>
  </conditionalFormatting>
  <conditionalFormatting sqref="T27:T45">
    <cfRule type="expression" dxfId="2298" priority="2248" stopIfTrue="1">
      <formula>$A27&lt;1</formula>
    </cfRule>
  </conditionalFormatting>
  <conditionalFormatting sqref="T33:T37">
    <cfRule type="expression" dxfId="2297" priority="2247" stopIfTrue="1">
      <formula>$A33&lt;1</formula>
    </cfRule>
  </conditionalFormatting>
  <conditionalFormatting sqref="T27:T45">
    <cfRule type="expression" dxfId="2296" priority="2246" stopIfTrue="1">
      <formula>$A27&lt;1</formula>
    </cfRule>
  </conditionalFormatting>
  <conditionalFormatting sqref="T33:T37">
    <cfRule type="expression" dxfId="2295" priority="2245" stopIfTrue="1">
      <formula>$A33&lt;1</formula>
    </cfRule>
  </conditionalFormatting>
  <conditionalFormatting sqref="T27:T45">
    <cfRule type="expression" dxfId="2294" priority="2244" stopIfTrue="1">
      <formula>$A27&lt;1</formula>
    </cfRule>
  </conditionalFormatting>
  <conditionalFormatting sqref="T33:T37">
    <cfRule type="expression" dxfId="2293" priority="2243" stopIfTrue="1">
      <formula>$A33&lt;1</formula>
    </cfRule>
  </conditionalFormatting>
  <conditionalFormatting sqref="T27:T45">
    <cfRule type="expression" dxfId="2292" priority="2242" stopIfTrue="1">
      <formula>$A27&lt;1</formula>
    </cfRule>
  </conditionalFormatting>
  <conditionalFormatting sqref="T33:T37">
    <cfRule type="expression" dxfId="2291" priority="2241" stopIfTrue="1">
      <formula>$A33&lt;1</formula>
    </cfRule>
  </conditionalFormatting>
  <conditionalFormatting sqref="T27:T45">
    <cfRule type="expression" dxfId="2290" priority="2240" stopIfTrue="1">
      <formula>$A27&lt;1</formula>
    </cfRule>
  </conditionalFormatting>
  <conditionalFormatting sqref="T33:T37">
    <cfRule type="expression" dxfId="2289" priority="2239" stopIfTrue="1">
      <formula>$A33&lt;1</formula>
    </cfRule>
  </conditionalFormatting>
  <conditionalFormatting sqref="T27:T45">
    <cfRule type="expression" dxfId="2288" priority="2238" stopIfTrue="1">
      <formula>$A27&lt;1</formula>
    </cfRule>
  </conditionalFormatting>
  <conditionalFormatting sqref="T33:T37">
    <cfRule type="expression" dxfId="2287" priority="2237" stopIfTrue="1">
      <formula>$A33&lt;1</formula>
    </cfRule>
  </conditionalFormatting>
  <conditionalFormatting sqref="T27:T45">
    <cfRule type="expression" dxfId="2286" priority="2236" stopIfTrue="1">
      <formula>$A27&lt;1</formula>
    </cfRule>
  </conditionalFormatting>
  <conditionalFormatting sqref="T33:T37">
    <cfRule type="expression" dxfId="2285" priority="2235" stopIfTrue="1">
      <formula>$A33&lt;1</formula>
    </cfRule>
  </conditionalFormatting>
  <conditionalFormatting sqref="T27:T45">
    <cfRule type="expression" dxfId="2284" priority="2234" stopIfTrue="1">
      <formula>$A27&lt;1</formula>
    </cfRule>
  </conditionalFormatting>
  <conditionalFormatting sqref="T33:T37">
    <cfRule type="expression" dxfId="2283" priority="2233" stopIfTrue="1">
      <formula>$A33&lt;1</formula>
    </cfRule>
  </conditionalFormatting>
  <conditionalFormatting sqref="T27:T45">
    <cfRule type="expression" dxfId="2282" priority="2232" stopIfTrue="1">
      <formula>$A27&lt;1</formula>
    </cfRule>
  </conditionalFormatting>
  <conditionalFormatting sqref="T33:T37">
    <cfRule type="expression" dxfId="2281" priority="2231" stopIfTrue="1">
      <formula>$A33&lt;1</formula>
    </cfRule>
  </conditionalFormatting>
  <conditionalFormatting sqref="T27:T45">
    <cfRule type="expression" dxfId="2280" priority="2230" stopIfTrue="1">
      <formula>$A27&lt;1</formula>
    </cfRule>
  </conditionalFormatting>
  <conditionalFormatting sqref="T33:T37">
    <cfRule type="expression" dxfId="2279" priority="2229" stopIfTrue="1">
      <formula>$A33&lt;1</formula>
    </cfRule>
  </conditionalFormatting>
  <conditionalFormatting sqref="T27:T45">
    <cfRule type="expression" dxfId="2278" priority="2228" stopIfTrue="1">
      <formula>$A27&lt;1</formula>
    </cfRule>
  </conditionalFormatting>
  <conditionalFormatting sqref="T33:T37">
    <cfRule type="expression" dxfId="2277" priority="2227" stopIfTrue="1">
      <formula>$A33&lt;1</formula>
    </cfRule>
  </conditionalFormatting>
  <conditionalFormatting sqref="T27:T45">
    <cfRule type="expression" dxfId="2276" priority="2226" stopIfTrue="1">
      <formula>$A27&lt;1</formula>
    </cfRule>
  </conditionalFormatting>
  <conditionalFormatting sqref="T33:T37">
    <cfRule type="expression" dxfId="2275" priority="2225" stopIfTrue="1">
      <formula>$A33&lt;1</formula>
    </cfRule>
  </conditionalFormatting>
  <conditionalFormatting sqref="T27:T45">
    <cfRule type="expression" dxfId="2274" priority="2224" stopIfTrue="1">
      <formula>$A27&lt;1</formula>
    </cfRule>
  </conditionalFormatting>
  <conditionalFormatting sqref="T33:T37">
    <cfRule type="expression" dxfId="2273" priority="2223" stopIfTrue="1">
      <formula>$A33&lt;1</formula>
    </cfRule>
  </conditionalFormatting>
  <conditionalFormatting sqref="T27:T45">
    <cfRule type="expression" dxfId="2272" priority="2222" stopIfTrue="1">
      <formula>$A27&lt;1</formula>
    </cfRule>
  </conditionalFormatting>
  <conditionalFormatting sqref="T33:T37">
    <cfRule type="expression" dxfId="2271" priority="2221" stopIfTrue="1">
      <formula>$A33&lt;1</formula>
    </cfRule>
  </conditionalFormatting>
  <conditionalFormatting sqref="T27:T45">
    <cfRule type="expression" dxfId="2270" priority="2220" stopIfTrue="1">
      <formula>$A27&lt;1</formula>
    </cfRule>
  </conditionalFormatting>
  <conditionalFormatting sqref="T33:T37">
    <cfRule type="expression" dxfId="2269" priority="2219" stopIfTrue="1">
      <formula>$A33&lt;1</formula>
    </cfRule>
  </conditionalFormatting>
  <conditionalFormatting sqref="T27:T45">
    <cfRule type="expression" dxfId="2268" priority="2218" stopIfTrue="1">
      <formula>$A27&lt;1</formula>
    </cfRule>
  </conditionalFormatting>
  <conditionalFormatting sqref="T33:T37">
    <cfRule type="expression" dxfId="2267" priority="2217" stopIfTrue="1">
      <formula>$A33&lt;1</formula>
    </cfRule>
  </conditionalFormatting>
  <conditionalFormatting sqref="T27:T45">
    <cfRule type="expression" dxfId="2266" priority="2216" stopIfTrue="1">
      <formula>$A27&lt;1</formula>
    </cfRule>
  </conditionalFormatting>
  <conditionalFormatting sqref="T33:T37">
    <cfRule type="expression" dxfId="2265" priority="2215" stopIfTrue="1">
      <formula>$A33&lt;1</formula>
    </cfRule>
  </conditionalFormatting>
  <conditionalFormatting sqref="T27:T45">
    <cfRule type="expression" dxfId="2264" priority="2214" stopIfTrue="1">
      <formula>$A27&lt;1</formula>
    </cfRule>
  </conditionalFormatting>
  <conditionalFormatting sqref="T33:T37">
    <cfRule type="expression" dxfId="2263" priority="2213" stopIfTrue="1">
      <formula>$A33&lt;1</formula>
    </cfRule>
  </conditionalFormatting>
  <conditionalFormatting sqref="T27:T45">
    <cfRule type="expression" dxfId="2262" priority="2212" stopIfTrue="1">
      <formula>$A27&lt;1</formula>
    </cfRule>
  </conditionalFormatting>
  <conditionalFormatting sqref="T33:T37">
    <cfRule type="expression" dxfId="2261" priority="2211" stopIfTrue="1">
      <formula>$A33&lt;1</formula>
    </cfRule>
  </conditionalFormatting>
  <conditionalFormatting sqref="T27:T45">
    <cfRule type="expression" dxfId="2260" priority="2210" stopIfTrue="1">
      <formula>$A27&lt;1</formula>
    </cfRule>
  </conditionalFormatting>
  <conditionalFormatting sqref="T33:T37">
    <cfRule type="expression" dxfId="2259" priority="2209" stopIfTrue="1">
      <formula>$A33&lt;1</formula>
    </cfRule>
  </conditionalFormatting>
  <conditionalFormatting sqref="T27:T45">
    <cfRule type="expression" dxfId="2258" priority="2208" stopIfTrue="1">
      <formula>$A27&lt;1</formula>
    </cfRule>
  </conditionalFormatting>
  <conditionalFormatting sqref="T33:T37">
    <cfRule type="expression" dxfId="2257" priority="2207" stopIfTrue="1">
      <formula>$A33&lt;1</formula>
    </cfRule>
  </conditionalFormatting>
  <conditionalFormatting sqref="T27:T45">
    <cfRule type="expression" dxfId="2256" priority="2206" stopIfTrue="1">
      <formula>$A27&lt;1</formula>
    </cfRule>
  </conditionalFormatting>
  <conditionalFormatting sqref="T33:T37">
    <cfRule type="expression" dxfId="2255" priority="2205" stopIfTrue="1">
      <formula>$A33&lt;1</formula>
    </cfRule>
  </conditionalFormatting>
  <conditionalFormatting sqref="T27:T45">
    <cfRule type="expression" dxfId="2254" priority="2204" stopIfTrue="1">
      <formula>$A27&lt;1</formula>
    </cfRule>
  </conditionalFormatting>
  <conditionalFormatting sqref="T33:T37">
    <cfRule type="expression" dxfId="2253" priority="2203" stopIfTrue="1">
      <formula>$A33&lt;1</formula>
    </cfRule>
  </conditionalFormatting>
  <conditionalFormatting sqref="T27:T45">
    <cfRule type="expression" dxfId="2252" priority="2202" stopIfTrue="1">
      <formula>$A27&lt;1</formula>
    </cfRule>
  </conditionalFormatting>
  <conditionalFormatting sqref="T33:T37">
    <cfRule type="expression" dxfId="2251" priority="2201" stopIfTrue="1">
      <formula>$A33&lt;1</formula>
    </cfRule>
  </conditionalFormatting>
  <conditionalFormatting sqref="T27:T45">
    <cfRule type="expression" dxfId="2250" priority="2200" stopIfTrue="1">
      <formula>$A27&lt;1</formula>
    </cfRule>
  </conditionalFormatting>
  <conditionalFormatting sqref="T33:T37">
    <cfRule type="expression" dxfId="2249" priority="2199" stopIfTrue="1">
      <formula>$A33&lt;1</formula>
    </cfRule>
  </conditionalFormatting>
  <conditionalFormatting sqref="T27:T45">
    <cfRule type="expression" dxfId="2248" priority="2198" stopIfTrue="1">
      <formula>$A27&lt;1</formula>
    </cfRule>
  </conditionalFormatting>
  <conditionalFormatting sqref="T33:T37">
    <cfRule type="expression" dxfId="2247" priority="2197" stopIfTrue="1">
      <formula>$A33&lt;1</formula>
    </cfRule>
  </conditionalFormatting>
  <conditionalFormatting sqref="T27:T45">
    <cfRule type="expression" dxfId="2246" priority="2196" stopIfTrue="1">
      <formula>$A27&lt;1</formula>
    </cfRule>
  </conditionalFormatting>
  <conditionalFormatting sqref="T33:T37">
    <cfRule type="expression" dxfId="2245" priority="2195" stopIfTrue="1">
      <formula>$A33&lt;1</formula>
    </cfRule>
  </conditionalFormatting>
  <conditionalFormatting sqref="T27:T45">
    <cfRule type="expression" dxfId="2244" priority="2194" stopIfTrue="1">
      <formula>$A27&lt;1</formula>
    </cfRule>
  </conditionalFormatting>
  <conditionalFormatting sqref="T33:T37">
    <cfRule type="expression" dxfId="2243" priority="2193" stopIfTrue="1">
      <formula>$A33&lt;1</formula>
    </cfRule>
  </conditionalFormatting>
  <conditionalFormatting sqref="T27:T45">
    <cfRule type="expression" dxfId="2242" priority="2192" stopIfTrue="1">
      <formula>$A27&lt;1</formula>
    </cfRule>
  </conditionalFormatting>
  <conditionalFormatting sqref="T33:T37">
    <cfRule type="expression" dxfId="2241" priority="2191" stopIfTrue="1">
      <formula>$A33&lt;1</formula>
    </cfRule>
  </conditionalFormatting>
  <conditionalFormatting sqref="T27:T45">
    <cfRule type="expression" dxfId="2240" priority="2190" stopIfTrue="1">
      <formula>$A27&lt;1</formula>
    </cfRule>
  </conditionalFormatting>
  <conditionalFormatting sqref="T33:T37">
    <cfRule type="expression" dxfId="2239" priority="2189" stopIfTrue="1">
      <formula>$A33&lt;1</formula>
    </cfRule>
  </conditionalFormatting>
  <conditionalFormatting sqref="T27:T45">
    <cfRule type="expression" dxfId="2238" priority="2188" stopIfTrue="1">
      <formula>$A27&lt;1</formula>
    </cfRule>
  </conditionalFormatting>
  <conditionalFormatting sqref="T33:T37">
    <cfRule type="expression" dxfId="2237" priority="2187" stopIfTrue="1">
      <formula>$A33&lt;1</formula>
    </cfRule>
  </conditionalFormatting>
  <conditionalFormatting sqref="T27:T45">
    <cfRule type="expression" dxfId="2236" priority="2186" stopIfTrue="1">
      <formula>$A27&lt;1</formula>
    </cfRule>
  </conditionalFormatting>
  <conditionalFormatting sqref="T33:T37">
    <cfRule type="expression" dxfId="2235" priority="2185" stopIfTrue="1">
      <formula>$A33&lt;1</formula>
    </cfRule>
  </conditionalFormatting>
  <conditionalFormatting sqref="T27:T45">
    <cfRule type="expression" dxfId="2234" priority="2184" stopIfTrue="1">
      <formula>$A27&lt;1</formula>
    </cfRule>
  </conditionalFormatting>
  <conditionalFormatting sqref="T33:T37">
    <cfRule type="expression" dxfId="2233" priority="2183" stopIfTrue="1">
      <formula>$A33&lt;1</formula>
    </cfRule>
  </conditionalFormatting>
  <conditionalFormatting sqref="T27:T45">
    <cfRule type="expression" dxfId="2232" priority="2182" stopIfTrue="1">
      <formula>$A27&lt;1</formula>
    </cfRule>
  </conditionalFormatting>
  <conditionalFormatting sqref="T33:T37">
    <cfRule type="expression" dxfId="2231" priority="2181" stopIfTrue="1">
      <formula>$A33&lt;1</formula>
    </cfRule>
  </conditionalFormatting>
  <conditionalFormatting sqref="T27:T45">
    <cfRule type="expression" dxfId="2230" priority="2180" stopIfTrue="1">
      <formula>$A27&lt;1</formula>
    </cfRule>
  </conditionalFormatting>
  <conditionalFormatting sqref="T33:T37">
    <cfRule type="expression" dxfId="2229" priority="2179" stopIfTrue="1">
      <formula>$A33&lt;1</formula>
    </cfRule>
  </conditionalFormatting>
  <conditionalFormatting sqref="T27:T45">
    <cfRule type="expression" dxfId="2228" priority="2178" stopIfTrue="1">
      <formula>$A27&lt;1</formula>
    </cfRule>
  </conditionalFormatting>
  <conditionalFormatting sqref="T33:T37">
    <cfRule type="expression" dxfId="2227" priority="2177" stopIfTrue="1">
      <formula>$A33&lt;1</formula>
    </cfRule>
  </conditionalFormatting>
  <conditionalFormatting sqref="T27:T45">
    <cfRule type="expression" dxfId="2226" priority="2176" stopIfTrue="1">
      <formula>$A27&lt;1</formula>
    </cfRule>
  </conditionalFormatting>
  <conditionalFormatting sqref="T33:T37">
    <cfRule type="expression" dxfId="2225" priority="2175" stopIfTrue="1">
      <formula>$A33&lt;1</formula>
    </cfRule>
  </conditionalFormatting>
  <conditionalFormatting sqref="T27:T45">
    <cfRule type="expression" dxfId="2224" priority="2174" stopIfTrue="1">
      <formula>$A27&lt;1</formula>
    </cfRule>
  </conditionalFormatting>
  <conditionalFormatting sqref="T33:T37">
    <cfRule type="expression" dxfId="2223" priority="2173" stopIfTrue="1">
      <formula>$A33&lt;1</formula>
    </cfRule>
  </conditionalFormatting>
  <conditionalFormatting sqref="T27:T45">
    <cfRule type="expression" dxfId="2222" priority="2172" stopIfTrue="1">
      <formula>$A27&lt;1</formula>
    </cfRule>
  </conditionalFormatting>
  <conditionalFormatting sqref="T33:T37">
    <cfRule type="expression" dxfId="2221" priority="2171" stopIfTrue="1">
      <formula>$A33&lt;1</formula>
    </cfRule>
  </conditionalFormatting>
  <conditionalFormatting sqref="T27:T45">
    <cfRule type="expression" dxfId="2220" priority="2170" stopIfTrue="1">
      <formula>$A27&lt;1</formula>
    </cfRule>
  </conditionalFormatting>
  <conditionalFormatting sqref="T33:T37">
    <cfRule type="expression" dxfId="2219" priority="2169" stopIfTrue="1">
      <formula>$A33&lt;1</formula>
    </cfRule>
  </conditionalFormatting>
  <conditionalFormatting sqref="T27:T45">
    <cfRule type="expression" dxfId="2218" priority="2168" stopIfTrue="1">
      <formula>$A27&lt;1</formula>
    </cfRule>
  </conditionalFormatting>
  <conditionalFormatting sqref="T33:T37">
    <cfRule type="expression" dxfId="2217" priority="2167" stopIfTrue="1">
      <formula>$A33&lt;1</formula>
    </cfRule>
  </conditionalFormatting>
  <conditionalFormatting sqref="T27:T45">
    <cfRule type="expression" dxfId="2216" priority="2166" stopIfTrue="1">
      <formula>$A27&lt;1</formula>
    </cfRule>
  </conditionalFormatting>
  <conditionalFormatting sqref="T33:T37">
    <cfRule type="expression" dxfId="2215" priority="2165" stopIfTrue="1">
      <formula>$A33&lt;1</formula>
    </cfRule>
  </conditionalFormatting>
  <conditionalFormatting sqref="T27:T45">
    <cfRule type="expression" dxfId="2214" priority="2164" stopIfTrue="1">
      <formula>$A27&lt;1</formula>
    </cfRule>
  </conditionalFormatting>
  <conditionalFormatting sqref="T33:T37">
    <cfRule type="expression" dxfId="2213" priority="2163" stopIfTrue="1">
      <formula>$A33&lt;1</formula>
    </cfRule>
  </conditionalFormatting>
  <conditionalFormatting sqref="T27:T45">
    <cfRule type="expression" dxfId="2212" priority="2162" stopIfTrue="1">
      <formula>$A27&lt;1</formula>
    </cfRule>
  </conditionalFormatting>
  <conditionalFormatting sqref="T33:T37">
    <cfRule type="expression" dxfId="2211" priority="2161" stopIfTrue="1">
      <formula>$A33&lt;1</formula>
    </cfRule>
  </conditionalFormatting>
  <conditionalFormatting sqref="T27:T45">
    <cfRule type="expression" dxfId="2210" priority="2160" stopIfTrue="1">
      <formula>$A27&lt;1</formula>
    </cfRule>
  </conditionalFormatting>
  <conditionalFormatting sqref="T33:T37">
    <cfRule type="expression" dxfId="2209" priority="2159" stopIfTrue="1">
      <formula>$A33&lt;1</formula>
    </cfRule>
  </conditionalFormatting>
  <conditionalFormatting sqref="T27:T45">
    <cfRule type="expression" dxfId="2208" priority="2158" stopIfTrue="1">
      <formula>$A27&lt;1</formula>
    </cfRule>
  </conditionalFormatting>
  <conditionalFormatting sqref="T33:T37">
    <cfRule type="expression" dxfId="2207" priority="2157" stopIfTrue="1">
      <formula>$A33&lt;1</formula>
    </cfRule>
  </conditionalFormatting>
  <conditionalFormatting sqref="T27:T45">
    <cfRule type="expression" dxfId="2206" priority="2156" stopIfTrue="1">
      <formula>$A27&lt;1</formula>
    </cfRule>
  </conditionalFormatting>
  <conditionalFormatting sqref="T33:T37">
    <cfRule type="expression" dxfId="2205" priority="2155" stopIfTrue="1">
      <formula>$A33&lt;1</formula>
    </cfRule>
  </conditionalFormatting>
  <conditionalFormatting sqref="T27:T45">
    <cfRule type="expression" dxfId="2204" priority="2154" stopIfTrue="1">
      <formula>$A27&lt;1</formula>
    </cfRule>
  </conditionalFormatting>
  <conditionalFormatting sqref="T33:T37">
    <cfRule type="expression" dxfId="2203" priority="2153" stopIfTrue="1">
      <formula>$A33&lt;1</formula>
    </cfRule>
  </conditionalFormatting>
  <conditionalFormatting sqref="T27:T45">
    <cfRule type="expression" dxfId="2202" priority="2152" stopIfTrue="1">
      <formula>$A27&lt;1</formula>
    </cfRule>
  </conditionalFormatting>
  <conditionalFormatting sqref="T33:T37">
    <cfRule type="expression" dxfId="2201" priority="2151" stopIfTrue="1">
      <formula>$A33&lt;1</formula>
    </cfRule>
  </conditionalFormatting>
  <conditionalFormatting sqref="T27:T45">
    <cfRule type="expression" dxfId="2200" priority="2150" stopIfTrue="1">
      <formula>$A27&lt;1</formula>
    </cfRule>
  </conditionalFormatting>
  <conditionalFormatting sqref="T33:T37">
    <cfRule type="expression" dxfId="2199" priority="2149" stopIfTrue="1">
      <formula>$A33&lt;1</formula>
    </cfRule>
  </conditionalFormatting>
  <conditionalFormatting sqref="T27:T45">
    <cfRule type="expression" dxfId="2198" priority="2148" stopIfTrue="1">
      <formula>$A27&lt;1</formula>
    </cfRule>
  </conditionalFormatting>
  <conditionalFormatting sqref="T33:T37">
    <cfRule type="expression" dxfId="2197" priority="2147" stopIfTrue="1">
      <formula>$A33&lt;1</formula>
    </cfRule>
  </conditionalFormatting>
  <conditionalFormatting sqref="T27:T45">
    <cfRule type="expression" dxfId="2196" priority="2146" stopIfTrue="1">
      <formula>$A27&lt;1</formula>
    </cfRule>
  </conditionalFormatting>
  <conditionalFormatting sqref="T33:T37">
    <cfRule type="expression" dxfId="2195" priority="2145" stopIfTrue="1">
      <formula>$A33&lt;1</formula>
    </cfRule>
  </conditionalFormatting>
  <conditionalFormatting sqref="T27:T45">
    <cfRule type="expression" dxfId="2194" priority="2144" stopIfTrue="1">
      <formula>$A27&lt;1</formula>
    </cfRule>
  </conditionalFormatting>
  <conditionalFormatting sqref="T33:T37">
    <cfRule type="expression" dxfId="2193" priority="2143" stopIfTrue="1">
      <formula>$A33&lt;1</formula>
    </cfRule>
  </conditionalFormatting>
  <conditionalFormatting sqref="T27:T45">
    <cfRule type="expression" dxfId="2192" priority="2142" stopIfTrue="1">
      <formula>$A27&lt;1</formula>
    </cfRule>
  </conditionalFormatting>
  <conditionalFormatting sqref="T33:T37">
    <cfRule type="expression" dxfId="2191" priority="2141" stopIfTrue="1">
      <formula>$A33&lt;1</formula>
    </cfRule>
  </conditionalFormatting>
  <conditionalFormatting sqref="T27:T45">
    <cfRule type="expression" dxfId="2190" priority="2140" stopIfTrue="1">
      <formula>$A27&lt;1</formula>
    </cfRule>
  </conditionalFormatting>
  <conditionalFormatting sqref="T33:T37">
    <cfRule type="expression" dxfId="2189" priority="2139" stopIfTrue="1">
      <formula>$A33&lt;1</formula>
    </cfRule>
  </conditionalFormatting>
  <conditionalFormatting sqref="T27:T45">
    <cfRule type="expression" dxfId="2188" priority="2138" stopIfTrue="1">
      <formula>$A27&lt;1</formula>
    </cfRule>
  </conditionalFormatting>
  <conditionalFormatting sqref="T33:T37">
    <cfRule type="expression" dxfId="2187" priority="2137" stopIfTrue="1">
      <formula>$A33&lt;1</formula>
    </cfRule>
  </conditionalFormatting>
  <conditionalFormatting sqref="T27:T45">
    <cfRule type="expression" dxfId="2186" priority="2136" stopIfTrue="1">
      <formula>$A27&lt;1</formula>
    </cfRule>
  </conditionalFormatting>
  <conditionalFormatting sqref="T33:T37">
    <cfRule type="expression" dxfId="2185" priority="2135" stopIfTrue="1">
      <formula>$A33&lt;1</formula>
    </cfRule>
  </conditionalFormatting>
  <conditionalFormatting sqref="T27:T45">
    <cfRule type="expression" dxfId="2184" priority="2134" stopIfTrue="1">
      <formula>$A27&lt;1</formula>
    </cfRule>
  </conditionalFormatting>
  <conditionalFormatting sqref="T33:T37">
    <cfRule type="expression" dxfId="2183" priority="2133" stopIfTrue="1">
      <formula>$A33&lt;1</formula>
    </cfRule>
  </conditionalFormatting>
  <conditionalFormatting sqref="T27:T45">
    <cfRule type="expression" dxfId="2182" priority="2132" stopIfTrue="1">
      <formula>$A27&lt;1</formula>
    </cfRule>
  </conditionalFormatting>
  <conditionalFormatting sqref="T33:T37">
    <cfRule type="expression" dxfId="2181" priority="2131" stopIfTrue="1">
      <formula>$A33&lt;1</formula>
    </cfRule>
  </conditionalFormatting>
  <conditionalFormatting sqref="T27:T45">
    <cfRule type="expression" dxfId="2180" priority="2130" stopIfTrue="1">
      <formula>$A27&lt;1</formula>
    </cfRule>
  </conditionalFormatting>
  <conditionalFormatting sqref="T33:T37">
    <cfRule type="expression" dxfId="2179" priority="2129" stopIfTrue="1">
      <formula>$A33&lt;1</formula>
    </cfRule>
  </conditionalFormatting>
  <conditionalFormatting sqref="T27:T45">
    <cfRule type="expression" dxfId="2178" priority="2128" stopIfTrue="1">
      <formula>$A27&lt;1</formula>
    </cfRule>
  </conditionalFormatting>
  <conditionalFormatting sqref="T33:T37">
    <cfRule type="expression" dxfId="2177" priority="2127" stopIfTrue="1">
      <formula>$A33&lt;1</formula>
    </cfRule>
  </conditionalFormatting>
  <conditionalFormatting sqref="T27:T45">
    <cfRule type="expression" dxfId="2176" priority="2126" stopIfTrue="1">
      <formula>$A27&lt;1</formula>
    </cfRule>
  </conditionalFormatting>
  <conditionalFormatting sqref="T33:T37">
    <cfRule type="expression" dxfId="2175" priority="2125" stopIfTrue="1">
      <formula>$A33&lt;1</formula>
    </cfRule>
  </conditionalFormatting>
  <conditionalFormatting sqref="T27:T45">
    <cfRule type="expression" dxfId="2174" priority="2124" stopIfTrue="1">
      <formula>$A27&lt;1</formula>
    </cfRule>
  </conditionalFormatting>
  <conditionalFormatting sqref="T33:T37">
    <cfRule type="expression" dxfId="2173" priority="2123" stopIfTrue="1">
      <formula>$A33&lt;1</formula>
    </cfRule>
  </conditionalFormatting>
  <conditionalFormatting sqref="T27:T45">
    <cfRule type="expression" dxfId="2172" priority="2122" stopIfTrue="1">
      <formula>$A27&lt;1</formula>
    </cfRule>
  </conditionalFormatting>
  <conditionalFormatting sqref="T33:T37">
    <cfRule type="expression" dxfId="2171" priority="2121" stopIfTrue="1">
      <formula>$A33&lt;1</formula>
    </cfRule>
  </conditionalFormatting>
  <conditionalFormatting sqref="T27:T45">
    <cfRule type="expression" dxfId="2170" priority="2120" stopIfTrue="1">
      <formula>$A27&lt;1</formula>
    </cfRule>
  </conditionalFormatting>
  <conditionalFormatting sqref="T33:T37">
    <cfRule type="expression" dxfId="2169" priority="2119" stopIfTrue="1">
      <formula>$A33&lt;1</formula>
    </cfRule>
  </conditionalFormatting>
  <conditionalFormatting sqref="T27:T45">
    <cfRule type="expression" dxfId="2168" priority="2118" stopIfTrue="1">
      <formula>$A27&lt;1</formula>
    </cfRule>
  </conditionalFormatting>
  <conditionalFormatting sqref="T33:T37">
    <cfRule type="expression" dxfId="2167" priority="2117" stopIfTrue="1">
      <formula>$A33&lt;1</formula>
    </cfRule>
  </conditionalFormatting>
  <conditionalFormatting sqref="T27:T45">
    <cfRule type="expression" dxfId="2166" priority="2116" stopIfTrue="1">
      <formula>$A27&lt;1</formula>
    </cfRule>
  </conditionalFormatting>
  <conditionalFormatting sqref="T33:T37">
    <cfRule type="expression" dxfId="2165" priority="2115" stopIfTrue="1">
      <formula>$A33&lt;1</formula>
    </cfRule>
  </conditionalFormatting>
  <conditionalFormatting sqref="T27:T45">
    <cfRule type="expression" dxfId="2164" priority="2114" stopIfTrue="1">
      <formula>$A27&lt;1</formula>
    </cfRule>
  </conditionalFormatting>
  <conditionalFormatting sqref="T33:T37">
    <cfRule type="expression" dxfId="2163" priority="2113" stopIfTrue="1">
      <formula>$A33&lt;1</formula>
    </cfRule>
  </conditionalFormatting>
  <conditionalFormatting sqref="T27:T45">
    <cfRule type="expression" dxfId="2162" priority="2112" stopIfTrue="1">
      <formula>$A27&lt;1</formula>
    </cfRule>
  </conditionalFormatting>
  <conditionalFormatting sqref="T33:T37">
    <cfRule type="expression" dxfId="2161" priority="2111" stopIfTrue="1">
      <formula>$A33&lt;1</formula>
    </cfRule>
  </conditionalFormatting>
  <conditionalFormatting sqref="T27:T45">
    <cfRule type="expression" dxfId="2160" priority="2110" stopIfTrue="1">
      <formula>$A27&lt;1</formula>
    </cfRule>
  </conditionalFormatting>
  <conditionalFormatting sqref="T33:T37">
    <cfRule type="expression" dxfId="2159" priority="2109" stopIfTrue="1">
      <formula>$A33&lt;1</formula>
    </cfRule>
  </conditionalFormatting>
  <conditionalFormatting sqref="T27:T45">
    <cfRule type="expression" dxfId="2158" priority="2108" stopIfTrue="1">
      <formula>$A27&lt;1</formula>
    </cfRule>
  </conditionalFormatting>
  <conditionalFormatting sqref="T33:T37">
    <cfRule type="expression" dxfId="2157" priority="2107" stopIfTrue="1">
      <formula>$A33&lt;1</formula>
    </cfRule>
  </conditionalFormatting>
  <conditionalFormatting sqref="T27:T45">
    <cfRule type="expression" dxfId="2156" priority="2106" stopIfTrue="1">
      <formula>$A27&lt;1</formula>
    </cfRule>
  </conditionalFormatting>
  <conditionalFormatting sqref="T33:T37">
    <cfRule type="expression" dxfId="2155" priority="2105" stopIfTrue="1">
      <formula>$A33&lt;1</formula>
    </cfRule>
  </conditionalFormatting>
  <conditionalFormatting sqref="T27:T45">
    <cfRule type="expression" dxfId="2154" priority="2104" stopIfTrue="1">
      <formula>$A27&lt;1</formula>
    </cfRule>
  </conditionalFormatting>
  <conditionalFormatting sqref="T33:T37">
    <cfRule type="expression" dxfId="2153" priority="2103" stopIfTrue="1">
      <formula>$A33&lt;1</formula>
    </cfRule>
  </conditionalFormatting>
  <conditionalFormatting sqref="T27:T45">
    <cfRule type="expression" dxfId="2152" priority="2102" stopIfTrue="1">
      <formula>$A27&lt;1</formula>
    </cfRule>
  </conditionalFormatting>
  <conditionalFormatting sqref="T33:T37">
    <cfRule type="expression" dxfId="2151" priority="2101" stopIfTrue="1">
      <formula>$A33&lt;1</formula>
    </cfRule>
  </conditionalFormatting>
  <conditionalFormatting sqref="T27:T45">
    <cfRule type="expression" dxfId="2150" priority="2100" stopIfTrue="1">
      <formula>$A27&lt;1</formula>
    </cfRule>
  </conditionalFormatting>
  <conditionalFormatting sqref="T33:T37">
    <cfRule type="expression" dxfId="2149" priority="2099" stopIfTrue="1">
      <formula>$A33&lt;1</formula>
    </cfRule>
  </conditionalFormatting>
  <conditionalFormatting sqref="T27:T45">
    <cfRule type="expression" dxfId="2148" priority="2098" stopIfTrue="1">
      <formula>$A27&lt;1</formula>
    </cfRule>
  </conditionalFormatting>
  <conditionalFormatting sqref="T33:T37">
    <cfRule type="expression" dxfId="2147" priority="2097" stopIfTrue="1">
      <formula>$A33&lt;1</formula>
    </cfRule>
  </conditionalFormatting>
  <conditionalFormatting sqref="T27:T45">
    <cfRule type="expression" dxfId="2146" priority="2096" stopIfTrue="1">
      <formula>$A27&lt;1</formula>
    </cfRule>
  </conditionalFormatting>
  <conditionalFormatting sqref="T33:T37">
    <cfRule type="expression" dxfId="2145" priority="2095" stopIfTrue="1">
      <formula>$A33&lt;1</formula>
    </cfRule>
  </conditionalFormatting>
  <conditionalFormatting sqref="T27:T45">
    <cfRule type="expression" dxfId="2144" priority="2094" stopIfTrue="1">
      <formula>$A27&lt;1</formula>
    </cfRule>
  </conditionalFormatting>
  <conditionalFormatting sqref="T33:T37">
    <cfRule type="expression" dxfId="2143" priority="2093" stopIfTrue="1">
      <formula>$A33&lt;1</formula>
    </cfRule>
  </conditionalFormatting>
  <conditionalFormatting sqref="T27:T45">
    <cfRule type="expression" dxfId="2142" priority="2092" stopIfTrue="1">
      <formula>$A27&lt;1</formula>
    </cfRule>
  </conditionalFormatting>
  <conditionalFormatting sqref="T33:T37">
    <cfRule type="expression" dxfId="2141" priority="2091" stopIfTrue="1">
      <formula>$A33&lt;1</formula>
    </cfRule>
  </conditionalFormatting>
  <conditionalFormatting sqref="T27:T45">
    <cfRule type="expression" dxfId="2140" priority="2090" stopIfTrue="1">
      <formula>$A27&lt;1</formula>
    </cfRule>
  </conditionalFormatting>
  <conditionalFormatting sqref="T33:T37">
    <cfRule type="expression" dxfId="2139" priority="2089" stopIfTrue="1">
      <formula>$A33&lt;1</formula>
    </cfRule>
  </conditionalFormatting>
  <conditionalFormatting sqref="T27:T45">
    <cfRule type="expression" dxfId="2138" priority="2088" stopIfTrue="1">
      <formula>$A27&lt;1</formula>
    </cfRule>
  </conditionalFormatting>
  <conditionalFormatting sqref="T33:T37">
    <cfRule type="expression" dxfId="2137" priority="2087" stopIfTrue="1">
      <formula>$A33&lt;1</formula>
    </cfRule>
  </conditionalFormatting>
  <conditionalFormatting sqref="T27:T45">
    <cfRule type="expression" dxfId="2136" priority="2086" stopIfTrue="1">
      <formula>$A27&lt;1</formula>
    </cfRule>
  </conditionalFormatting>
  <conditionalFormatting sqref="T33:T37">
    <cfRule type="expression" dxfId="2135" priority="2085" stopIfTrue="1">
      <formula>$A33&lt;1</formula>
    </cfRule>
  </conditionalFormatting>
  <conditionalFormatting sqref="T27:T45">
    <cfRule type="expression" dxfId="2134" priority="2084" stopIfTrue="1">
      <formula>$A27&lt;1</formula>
    </cfRule>
  </conditionalFormatting>
  <conditionalFormatting sqref="T33:T37">
    <cfRule type="expression" dxfId="2133" priority="2083" stopIfTrue="1">
      <formula>$A33&lt;1</formula>
    </cfRule>
  </conditionalFormatting>
  <conditionalFormatting sqref="T27:T45">
    <cfRule type="expression" dxfId="2132" priority="2082" stopIfTrue="1">
      <formula>$A27&lt;1</formula>
    </cfRule>
  </conditionalFormatting>
  <conditionalFormatting sqref="T33:T37">
    <cfRule type="expression" dxfId="2131" priority="2081" stopIfTrue="1">
      <formula>$A33&lt;1</formula>
    </cfRule>
  </conditionalFormatting>
  <conditionalFormatting sqref="T27:T45">
    <cfRule type="expression" dxfId="2130" priority="2080" stopIfTrue="1">
      <formula>$A27&lt;1</formula>
    </cfRule>
  </conditionalFormatting>
  <conditionalFormatting sqref="T33:T37">
    <cfRule type="expression" dxfId="2129" priority="2079" stopIfTrue="1">
      <formula>$A33&lt;1</formula>
    </cfRule>
  </conditionalFormatting>
  <conditionalFormatting sqref="T27:T45">
    <cfRule type="expression" dxfId="2128" priority="2078" stopIfTrue="1">
      <formula>$A27&lt;1</formula>
    </cfRule>
  </conditionalFormatting>
  <conditionalFormatting sqref="T33:T37">
    <cfRule type="expression" dxfId="2127" priority="2077" stopIfTrue="1">
      <formula>$A33&lt;1</formula>
    </cfRule>
  </conditionalFormatting>
  <conditionalFormatting sqref="T27:T45">
    <cfRule type="expression" dxfId="2126" priority="2076" stopIfTrue="1">
      <formula>$A27&lt;1</formula>
    </cfRule>
  </conditionalFormatting>
  <conditionalFormatting sqref="T33:T37">
    <cfRule type="expression" dxfId="2125" priority="2075" stopIfTrue="1">
      <formula>$A33&lt;1</formula>
    </cfRule>
  </conditionalFormatting>
  <conditionalFormatting sqref="T27:T45">
    <cfRule type="expression" dxfId="2124" priority="2074" stopIfTrue="1">
      <formula>$A27&lt;1</formula>
    </cfRule>
  </conditionalFormatting>
  <conditionalFormatting sqref="T33:T37">
    <cfRule type="expression" dxfId="2123" priority="2073" stopIfTrue="1">
      <formula>$A33&lt;1</formula>
    </cfRule>
  </conditionalFormatting>
  <conditionalFormatting sqref="T27:T45">
    <cfRule type="expression" dxfId="2122" priority="2072" stopIfTrue="1">
      <formula>$A27&lt;1</formula>
    </cfRule>
  </conditionalFormatting>
  <conditionalFormatting sqref="T33:T37">
    <cfRule type="expression" dxfId="2121" priority="2071" stopIfTrue="1">
      <formula>$A33&lt;1</formula>
    </cfRule>
  </conditionalFormatting>
  <conditionalFormatting sqref="T27:T45">
    <cfRule type="expression" dxfId="2120" priority="2070" stopIfTrue="1">
      <formula>$A27&lt;1</formula>
    </cfRule>
  </conditionalFormatting>
  <conditionalFormatting sqref="T33:T37">
    <cfRule type="expression" dxfId="2119" priority="2069" stopIfTrue="1">
      <formula>$A33&lt;1</formula>
    </cfRule>
  </conditionalFormatting>
  <conditionalFormatting sqref="T27:T45">
    <cfRule type="expression" dxfId="2118" priority="2068" stopIfTrue="1">
      <formula>$A27&lt;1</formula>
    </cfRule>
  </conditionalFormatting>
  <conditionalFormatting sqref="T33:T37">
    <cfRule type="expression" dxfId="2117" priority="2067" stopIfTrue="1">
      <formula>$A33&lt;1</formula>
    </cfRule>
  </conditionalFormatting>
  <conditionalFormatting sqref="T27:T45">
    <cfRule type="expression" dxfId="2116" priority="2066" stopIfTrue="1">
      <formula>$A27&lt;1</formula>
    </cfRule>
  </conditionalFormatting>
  <conditionalFormatting sqref="T33:T37">
    <cfRule type="expression" dxfId="2115" priority="2065" stopIfTrue="1">
      <formula>$A33&lt;1</formula>
    </cfRule>
  </conditionalFormatting>
  <conditionalFormatting sqref="T27:T45">
    <cfRule type="expression" dxfId="2114" priority="2064" stopIfTrue="1">
      <formula>$A27&lt;1</formula>
    </cfRule>
  </conditionalFormatting>
  <conditionalFormatting sqref="T33:T37">
    <cfRule type="expression" dxfId="2113" priority="2063" stopIfTrue="1">
      <formula>$A33&lt;1</formula>
    </cfRule>
  </conditionalFormatting>
  <conditionalFormatting sqref="T27:T45">
    <cfRule type="expression" dxfId="2112" priority="2062" stopIfTrue="1">
      <formula>$A27&lt;1</formula>
    </cfRule>
  </conditionalFormatting>
  <conditionalFormatting sqref="T33:T37">
    <cfRule type="expression" dxfId="2111" priority="2061" stopIfTrue="1">
      <formula>$A33&lt;1</formula>
    </cfRule>
  </conditionalFormatting>
  <conditionalFormatting sqref="T27:T45">
    <cfRule type="expression" dxfId="2110" priority="2060" stopIfTrue="1">
      <formula>$A27&lt;1</formula>
    </cfRule>
  </conditionalFormatting>
  <conditionalFormatting sqref="T33:T37">
    <cfRule type="expression" dxfId="2109" priority="2059" stopIfTrue="1">
      <formula>$A33&lt;1</formula>
    </cfRule>
  </conditionalFormatting>
  <conditionalFormatting sqref="T27:T45">
    <cfRule type="expression" dxfId="2108" priority="2058" stopIfTrue="1">
      <formula>$A27&lt;1</formula>
    </cfRule>
  </conditionalFormatting>
  <conditionalFormatting sqref="T33:T37">
    <cfRule type="expression" dxfId="2107" priority="2057" stopIfTrue="1">
      <formula>$A33&lt;1</formula>
    </cfRule>
  </conditionalFormatting>
  <conditionalFormatting sqref="T27:T45">
    <cfRule type="expression" dxfId="2106" priority="2056" stopIfTrue="1">
      <formula>$A27&lt;1</formula>
    </cfRule>
  </conditionalFormatting>
  <conditionalFormatting sqref="T33:T37">
    <cfRule type="expression" dxfId="2105" priority="2055" stopIfTrue="1">
      <formula>$A33&lt;1</formula>
    </cfRule>
  </conditionalFormatting>
  <conditionalFormatting sqref="T27:T45">
    <cfRule type="expression" dxfId="2104" priority="2054" stopIfTrue="1">
      <formula>$A27&lt;1</formula>
    </cfRule>
  </conditionalFormatting>
  <conditionalFormatting sqref="T33:T37">
    <cfRule type="expression" dxfId="2103" priority="2053" stopIfTrue="1">
      <formula>$A33&lt;1</formula>
    </cfRule>
  </conditionalFormatting>
  <conditionalFormatting sqref="T27:T45">
    <cfRule type="expression" dxfId="2102" priority="2052" stopIfTrue="1">
      <formula>$A27&lt;1</formula>
    </cfRule>
  </conditionalFormatting>
  <conditionalFormatting sqref="T33:T37">
    <cfRule type="expression" dxfId="2101" priority="2051" stopIfTrue="1">
      <formula>$A33&lt;1</formula>
    </cfRule>
  </conditionalFormatting>
  <conditionalFormatting sqref="T27:T45">
    <cfRule type="expression" dxfId="2100" priority="2050" stopIfTrue="1">
      <formula>$A27&lt;1</formula>
    </cfRule>
  </conditionalFormatting>
  <conditionalFormatting sqref="T33:T37">
    <cfRule type="expression" dxfId="2099" priority="2049" stopIfTrue="1">
      <formula>$A33&lt;1</formula>
    </cfRule>
  </conditionalFormatting>
  <conditionalFormatting sqref="T27:T45">
    <cfRule type="expression" dxfId="2098" priority="2048" stopIfTrue="1">
      <formula>$A27&lt;1</formula>
    </cfRule>
  </conditionalFormatting>
  <conditionalFormatting sqref="T33:T37">
    <cfRule type="expression" dxfId="2097" priority="2047" stopIfTrue="1">
      <formula>$A33&lt;1</formula>
    </cfRule>
  </conditionalFormatting>
  <conditionalFormatting sqref="T27:T45">
    <cfRule type="expression" dxfId="2096" priority="2046" stopIfTrue="1">
      <formula>$A27&lt;1</formula>
    </cfRule>
  </conditionalFormatting>
  <conditionalFormatting sqref="T33:T37">
    <cfRule type="expression" dxfId="2095" priority="2045" stopIfTrue="1">
      <formula>$A33&lt;1</formula>
    </cfRule>
  </conditionalFormatting>
  <conditionalFormatting sqref="T27:T45">
    <cfRule type="expression" dxfId="2094" priority="2044" stopIfTrue="1">
      <formula>$A27&lt;1</formula>
    </cfRule>
  </conditionalFormatting>
  <conditionalFormatting sqref="T33:T37">
    <cfRule type="expression" dxfId="2093" priority="2043" stopIfTrue="1">
      <formula>$A33&lt;1</formula>
    </cfRule>
  </conditionalFormatting>
  <conditionalFormatting sqref="T27:T45">
    <cfRule type="expression" dxfId="2092" priority="2042" stopIfTrue="1">
      <formula>$A27&lt;1</formula>
    </cfRule>
  </conditionalFormatting>
  <conditionalFormatting sqref="T33:T37">
    <cfRule type="expression" dxfId="2091" priority="2041" stopIfTrue="1">
      <formula>$A33&lt;1</formula>
    </cfRule>
  </conditionalFormatting>
  <conditionalFormatting sqref="T27:T45">
    <cfRule type="expression" dxfId="2090" priority="2040" stopIfTrue="1">
      <formula>$A27&lt;1</formula>
    </cfRule>
  </conditionalFormatting>
  <conditionalFormatting sqref="T33:T37">
    <cfRule type="expression" dxfId="2089" priority="2039" stopIfTrue="1">
      <formula>$A33&lt;1</formula>
    </cfRule>
  </conditionalFormatting>
  <conditionalFormatting sqref="T27:T45">
    <cfRule type="expression" dxfId="2088" priority="2038" stopIfTrue="1">
      <formula>$A27&lt;1</formula>
    </cfRule>
  </conditionalFormatting>
  <conditionalFormatting sqref="T33:T37">
    <cfRule type="expression" dxfId="2087" priority="2037" stopIfTrue="1">
      <formula>$A33&lt;1</formula>
    </cfRule>
  </conditionalFormatting>
  <conditionalFormatting sqref="T27:T45">
    <cfRule type="expression" dxfId="2086" priority="2036" stopIfTrue="1">
      <formula>$A27&lt;1</formula>
    </cfRule>
  </conditionalFormatting>
  <conditionalFormatting sqref="T33:T37">
    <cfRule type="expression" dxfId="2085" priority="2035" stopIfTrue="1">
      <formula>$A33&lt;1</formula>
    </cfRule>
  </conditionalFormatting>
  <conditionalFormatting sqref="T27:T45">
    <cfRule type="expression" dxfId="2084" priority="2034" stopIfTrue="1">
      <formula>$A27&lt;1</formula>
    </cfRule>
  </conditionalFormatting>
  <conditionalFormatting sqref="T33:T37">
    <cfRule type="expression" dxfId="2083" priority="2033" stopIfTrue="1">
      <formula>$A33&lt;1</formula>
    </cfRule>
  </conditionalFormatting>
  <conditionalFormatting sqref="T27:T45">
    <cfRule type="expression" dxfId="2082" priority="2032" stopIfTrue="1">
      <formula>$A27&lt;1</formula>
    </cfRule>
  </conditionalFormatting>
  <conditionalFormatting sqref="T33:T37">
    <cfRule type="expression" dxfId="2081" priority="2031" stopIfTrue="1">
      <formula>$A33&lt;1</formula>
    </cfRule>
  </conditionalFormatting>
  <conditionalFormatting sqref="T27:T45">
    <cfRule type="expression" dxfId="2080" priority="2030" stopIfTrue="1">
      <formula>$A27&lt;1</formula>
    </cfRule>
  </conditionalFormatting>
  <conditionalFormatting sqref="T33:T37">
    <cfRule type="expression" dxfId="2079" priority="2029" stopIfTrue="1">
      <formula>$A33&lt;1</formula>
    </cfRule>
  </conditionalFormatting>
  <conditionalFormatting sqref="T27:T45">
    <cfRule type="expression" dxfId="2078" priority="2028" stopIfTrue="1">
      <formula>$A27&lt;1</formula>
    </cfRule>
  </conditionalFormatting>
  <conditionalFormatting sqref="T33:T37">
    <cfRule type="expression" dxfId="2077" priority="2027" stopIfTrue="1">
      <formula>$A33&lt;1</formula>
    </cfRule>
  </conditionalFormatting>
  <conditionalFormatting sqref="T27:T45">
    <cfRule type="expression" dxfId="2076" priority="2026" stopIfTrue="1">
      <formula>$A27&lt;1</formula>
    </cfRule>
  </conditionalFormatting>
  <conditionalFormatting sqref="T33:T37">
    <cfRule type="expression" dxfId="2075" priority="2025" stopIfTrue="1">
      <formula>$A33&lt;1</formula>
    </cfRule>
  </conditionalFormatting>
  <conditionalFormatting sqref="T27:T45">
    <cfRule type="expression" dxfId="2074" priority="2024" stopIfTrue="1">
      <formula>$A27&lt;1</formula>
    </cfRule>
  </conditionalFormatting>
  <conditionalFormatting sqref="T33:T37">
    <cfRule type="expression" dxfId="2073" priority="2023" stopIfTrue="1">
      <formula>$A33&lt;1</formula>
    </cfRule>
  </conditionalFormatting>
  <conditionalFormatting sqref="T27:T45">
    <cfRule type="expression" dxfId="2072" priority="2022" stopIfTrue="1">
      <formula>$A27&lt;1</formula>
    </cfRule>
  </conditionalFormatting>
  <conditionalFormatting sqref="T33:T37">
    <cfRule type="expression" dxfId="2071" priority="2021" stopIfTrue="1">
      <formula>$A33&lt;1</formula>
    </cfRule>
  </conditionalFormatting>
  <conditionalFormatting sqref="T27:T45">
    <cfRule type="expression" dxfId="2070" priority="2020" stopIfTrue="1">
      <formula>$A27&lt;1</formula>
    </cfRule>
  </conditionalFormatting>
  <conditionalFormatting sqref="T33:T37">
    <cfRule type="expression" dxfId="2069" priority="2019" stopIfTrue="1">
      <formula>$A33&lt;1</formula>
    </cfRule>
  </conditionalFormatting>
  <conditionalFormatting sqref="T27:T45">
    <cfRule type="expression" dxfId="2068" priority="2018" stopIfTrue="1">
      <formula>$A27&lt;1</formula>
    </cfRule>
  </conditionalFormatting>
  <conditionalFormatting sqref="T33:T37">
    <cfRule type="expression" dxfId="2067" priority="2017" stopIfTrue="1">
      <formula>$A33&lt;1</formula>
    </cfRule>
  </conditionalFormatting>
  <conditionalFormatting sqref="T27:T45">
    <cfRule type="expression" dxfId="2066" priority="2016" stopIfTrue="1">
      <formula>$A27&lt;1</formula>
    </cfRule>
  </conditionalFormatting>
  <conditionalFormatting sqref="T33:T37">
    <cfRule type="expression" dxfId="2065" priority="2015" stopIfTrue="1">
      <formula>$A33&lt;1</formula>
    </cfRule>
  </conditionalFormatting>
  <conditionalFormatting sqref="T27:T45">
    <cfRule type="expression" dxfId="2064" priority="2014" stopIfTrue="1">
      <formula>$A27&lt;1</formula>
    </cfRule>
  </conditionalFormatting>
  <conditionalFormatting sqref="T33:T37">
    <cfRule type="expression" dxfId="2063" priority="2013" stopIfTrue="1">
      <formula>$A33&lt;1</formula>
    </cfRule>
  </conditionalFormatting>
  <conditionalFormatting sqref="T27:T45">
    <cfRule type="expression" dxfId="2062" priority="2012" stopIfTrue="1">
      <formula>$A27&lt;1</formula>
    </cfRule>
  </conditionalFormatting>
  <conditionalFormatting sqref="T33:T37">
    <cfRule type="expression" dxfId="2061" priority="2011" stopIfTrue="1">
      <formula>$A33&lt;1</formula>
    </cfRule>
  </conditionalFormatting>
  <conditionalFormatting sqref="T27:T45">
    <cfRule type="expression" dxfId="2060" priority="2010" stopIfTrue="1">
      <formula>$A27&lt;1</formula>
    </cfRule>
  </conditionalFormatting>
  <conditionalFormatting sqref="T33:T37">
    <cfRule type="expression" dxfId="2059" priority="2009" stopIfTrue="1">
      <formula>$A33&lt;1</formula>
    </cfRule>
  </conditionalFormatting>
  <conditionalFormatting sqref="T27:T45">
    <cfRule type="expression" dxfId="2058" priority="2008" stopIfTrue="1">
      <formula>$A27&lt;1</formula>
    </cfRule>
  </conditionalFormatting>
  <conditionalFormatting sqref="T33:T37">
    <cfRule type="expression" dxfId="2057" priority="2007" stopIfTrue="1">
      <formula>$A33&lt;1</formula>
    </cfRule>
  </conditionalFormatting>
  <conditionalFormatting sqref="T27:T45">
    <cfRule type="expression" dxfId="2056" priority="2006" stopIfTrue="1">
      <formula>$A27&lt;1</formula>
    </cfRule>
  </conditionalFormatting>
  <conditionalFormatting sqref="T33:T37">
    <cfRule type="expression" dxfId="2055" priority="2005" stopIfTrue="1">
      <formula>$A33&lt;1</formula>
    </cfRule>
  </conditionalFormatting>
  <conditionalFormatting sqref="T27:T45">
    <cfRule type="expression" dxfId="2054" priority="2004" stopIfTrue="1">
      <formula>$A27&lt;1</formula>
    </cfRule>
  </conditionalFormatting>
  <conditionalFormatting sqref="T33:T37">
    <cfRule type="expression" dxfId="2053" priority="2003" stopIfTrue="1">
      <formula>$A33&lt;1</formula>
    </cfRule>
  </conditionalFormatting>
  <conditionalFormatting sqref="T27:T45">
    <cfRule type="expression" dxfId="2052" priority="2002" stopIfTrue="1">
      <formula>$A27&lt;1</formula>
    </cfRule>
  </conditionalFormatting>
  <conditionalFormatting sqref="T33:T37">
    <cfRule type="expression" dxfId="2051" priority="2001" stopIfTrue="1">
      <formula>$A33&lt;1</formula>
    </cfRule>
  </conditionalFormatting>
  <conditionalFormatting sqref="T27:T45">
    <cfRule type="expression" dxfId="2050" priority="2000" stopIfTrue="1">
      <formula>$A27&lt;1</formula>
    </cfRule>
  </conditionalFormatting>
  <conditionalFormatting sqref="T33:T37">
    <cfRule type="expression" dxfId="2049" priority="1999" stopIfTrue="1">
      <formula>$A33&lt;1</formula>
    </cfRule>
  </conditionalFormatting>
  <conditionalFormatting sqref="T27:T45">
    <cfRule type="expression" dxfId="2048" priority="1998" stopIfTrue="1">
      <formula>$A27&lt;1</formula>
    </cfRule>
  </conditionalFormatting>
  <conditionalFormatting sqref="T33:T37">
    <cfRule type="expression" dxfId="2047" priority="1997" stopIfTrue="1">
      <formula>$A33&lt;1</formula>
    </cfRule>
  </conditionalFormatting>
  <conditionalFormatting sqref="T27:T45">
    <cfRule type="expression" dxfId="2046" priority="1996" stopIfTrue="1">
      <formula>$A27&lt;1</formula>
    </cfRule>
  </conditionalFormatting>
  <conditionalFormatting sqref="T33:T37">
    <cfRule type="expression" dxfId="2045" priority="1995" stopIfTrue="1">
      <formula>$A33&lt;1</formula>
    </cfRule>
  </conditionalFormatting>
  <conditionalFormatting sqref="T27:T45">
    <cfRule type="expression" dxfId="2044" priority="1994" stopIfTrue="1">
      <formula>$A27&lt;1</formula>
    </cfRule>
  </conditionalFormatting>
  <conditionalFormatting sqref="T33:T37">
    <cfRule type="expression" dxfId="2043" priority="1993" stopIfTrue="1">
      <formula>$A33&lt;1</formula>
    </cfRule>
  </conditionalFormatting>
  <conditionalFormatting sqref="T27:T45">
    <cfRule type="expression" dxfId="2042" priority="1992" stopIfTrue="1">
      <formula>$A27&lt;1</formula>
    </cfRule>
  </conditionalFormatting>
  <conditionalFormatting sqref="T33:T37">
    <cfRule type="expression" dxfId="2041" priority="1991" stopIfTrue="1">
      <formula>$A33&lt;1</formula>
    </cfRule>
  </conditionalFormatting>
  <conditionalFormatting sqref="T27:T45">
    <cfRule type="expression" dxfId="2040" priority="1990" stopIfTrue="1">
      <formula>$A27&lt;1</formula>
    </cfRule>
  </conditionalFormatting>
  <conditionalFormatting sqref="T33:T37">
    <cfRule type="expression" dxfId="2039" priority="1989" stopIfTrue="1">
      <formula>$A33&lt;1</formula>
    </cfRule>
  </conditionalFormatting>
  <conditionalFormatting sqref="T27:T45">
    <cfRule type="expression" dxfId="2038" priority="1988" stopIfTrue="1">
      <formula>$A27&lt;1</formula>
    </cfRule>
  </conditionalFormatting>
  <conditionalFormatting sqref="T33:T37">
    <cfRule type="expression" dxfId="2037" priority="1987" stopIfTrue="1">
      <formula>$A33&lt;1</formula>
    </cfRule>
  </conditionalFormatting>
  <conditionalFormatting sqref="T27:T45">
    <cfRule type="expression" dxfId="2036" priority="1986" stopIfTrue="1">
      <formula>$A27&lt;1</formula>
    </cfRule>
  </conditionalFormatting>
  <conditionalFormatting sqref="T33:T37">
    <cfRule type="expression" dxfId="2035" priority="1985" stopIfTrue="1">
      <formula>$A33&lt;1</formula>
    </cfRule>
  </conditionalFormatting>
  <conditionalFormatting sqref="T27:T45">
    <cfRule type="expression" dxfId="2034" priority="1984" stopIfTrue="1">
      <formula>$A27&lt;1</formula>
    </cfRule>
  </conditionalFormatting>
  <conditionalFormatting sqref="T33:T37">
    <cfRule type="expression" dxfId="2033" priority="1983" stopIfTrue="1">
      <formula>$A33&lt;1</formula>
    </cfRule>
  </conditionalFormatting>
  <conditionalFormatting sqref="T27:T45">
    <cfRule type="expression" dxfId="2032" priority="1982" stopIfTrue="1">
      <formula>$A27&lt;1</formula>
    </cfRule>
  </conditionalFormatting>
  <conditionalFormatting sqref="T33:T37">
    <cfRule type="expression" dxfId="2031" priority="1981" stopIfTrue="1">
      <formula>$A33&lt;1</formula>
    </cfRule>
  </conditionalFormatting>
  <conditionalFormatting sqref="T27:T45">
    <cfRule type="expression" dxfId="2030" priority="1980" stopIfTrue="1">
      <formula>$A27&lt;1</formula>
    </cfRule>
  </conditionalFormatting>
  <conditionalFormatting sqref="T33:T37">
    <cfRule type="expression" dxfId="2029" priority="1979" stopIfTrue="1">
      <formula>$A33&lt;1</formula>
    </cfRule>
  </conditionalFormatting>
  <conditionalFormatting sqref="T27:T45">
    <cfRule type="expression" dxfId="2028" priority="1978" stopIfTrue="1">
      <formula>$A27&lt;1</formula>
    </cfRule>
  </conditionalFormatting>
  <conditionalFormatting sqref="T33:T37">
    <cfRule type="expression" dxfId="2027" priority="1977" stopIfTrue="1">
      <formula>$A33&lt;1</formula>
    </cfRule>
  </conditionalFormatting>
  <conditionalFormatting sqref="T27:T45">
    <cfRule type="expression" dxfId="2026" priority="1976" stopIfTrue="1">
      <formula>$A27&lt;1</formula>
    </cfRule>
  </conditionalFormatting>
  <conditionalFormatting sqref="T33:T37">
    <cfRule type="expression" dxfId="2025" priority="1975" stopIfTrue="1">
      <formula>$A33&lt;1</formula>
    </cfRule>
  </conditionalFormatting>
  <conditionalFormatting sqref="T27:T45">
    <cfRule type="expression" dxfId="2024" priority="1974" stopIfTrue="1">
      <formula>$A27&lt;1</formula>
    </cfRule>
  </conditionalFormatting>
  <conditionalFormatting sqref="T33:T37">
    <cfRule type="expression" dxfId="2023" priority="1973" stopIfTrue="1">
      <formula>$A33&lt;1</formula>
    </cfRule>
  </conditionalFormatting>
  <conditionalFormatting sqref="T27:T45">
    <cfRule type="expression" dxfId="2022" priority="1972" stopIfTrue="1">
      <formula>$A27&lt;1</formula>
    </cfRule>
  </conditionalFormatting>
  <conditionalFormatting sqref="T33:T37">
    <cfRule type="expression" dxfId="2021" priority="1971" stopIfTrue="1">
      <formula>$A33&lt;1</formula>
    </cfRule>
  </conditionalFormatting>
  <conditionalFormatting sqref="T27:T45">
    <cfRule type="expression" dxfId="2020" priority="1970" stopIfTrue="1">
      <formula>$A27&lt;1</formula>
    </cfRule>
  </conditionalFormatting>
  <conditionalFormatting sqref="T33:T37">
    <cfRule type="expression" dxfId="2019" priority="1969" stopIfTrue="1">
      <formula>$A33&lt;1</formula>
    </cfRule>
  </conditionalFormatting>
  <conditionalFormatting sqref="T27:T45">
    <cfRule type="expression" dxfId="2018" priority="1968" stopIfTrue="1">
      <formula>$A27&lt;1</formula>
    </cfRule>
  </conditionalFormatting>
  <conditionalFormatting sqref="T33:T37">
    <cfRule type="expression" dxfId="2017" priority="1967" stopIfTrue="1">
      <formula>$A33&lt;1</formula>
    </cfRule>
  </conditionalFormatting>
  <conditionalFormatting sqref="T27:T45">
    <cfRule type="expression" dxfId="2016" priority="1966" stopIfTrue="1">
      <formula>$A27&lt;1</formula>
    </cfRule>
  </conditionalFormatting>
  <conditionalFormatting sqref="T33:T37">
    <cfRule type="expression" dxfId="2015" priority="1965" stopIfTrue="1">
      <formula>$A33&lt;1</formula>
    </cfRule>
  </conditionalFormatting>
  <conditionalFormatting sqref="T27:T45">
    <cfRule type="expression" dxfId="2014" priority="1964" stopIfTrue="1">
      <formula>$A27&lt;1</formula>
    </cfRule>
  </conditionalFormatting>
  <conditionalFormatting sqref="T33:T37">
    <cfRule type="expression" dxfId="2013" priority="1963" stopIfTrue="1">
      <formula>$A33&lt;1</formula>
    </cfRule>
  </conditionalFormatting>
  <conditionalFormatting sqref="T27:T45">
    <cfRule type="expression" dxfId="2012" priority="1962" stopIfTrue="1">
      <formula>$A27&lt;1</formula>
    </cfRule>
  </conditionalFormatting>
  <conditionalFormatting sqref="T33:T37">
    <cfRule type="expression" dxfId="2011" priority="1961" stopIfTrue="1">
      <formula>$A33&lt;1</formula>
    </cfRule>
  </conditionalFormatting>
  <conditionalFormatting sqref="T27:T45">
    <cfRule type="expression" dxfId="2010" priority="1960" stopIfTrue="1">
      <formula>$A27&lt;1</formula>
    </cfRule>
  </conditionalFormatting>
  <conditionalFormatting sqref="T33:T37">
    <cfRule type="expression" dxfId="2009" priority="1959" stopIfTrue="1">
      <formula>$A33&lt;1</formula>
    </cfRule>
  </conditionalFormatting>
  <conditionalFormatting sqref="T27:T45">
    <cfRule type="expression" dxfId="2008" priority="1958" stopIfTrue="1">
      <formula>$A27&lt;1</formula>
    </cfRule>
  </conditionalFormatting>
  <conditionalFormatting sqref="T33:T37">
    <cfRule type="expression" dxfId="2007" priority="1957" stopIfTrue="1">
      <formula>$A33&lt;1</formula>
    </cfRule>
  </conditionalFormatting>
  <conditionalFormatting sqref="T27:T45">
    <cfRule type="expression" dxfId="2006" priority="1956" stopIfTrue="1">
      <formula>$A27&lt;1</formula>
    </cfRule>
  </conditionalFormatting>
  <conditionalFormatting sqref="T33:T37">
    <cfRule type="expression" dxfId="2005" priority="1955" stopIfTrue="1">
      <formula>$A33&lt;1</formula>
    </cfRule>
  </conditionalFormatting>
  <conditionalFormatting sqref="T27:T45">
    <cfRule type="expression" dxfId="2004" priority="1954" stopIfTrue="1">
      <formula>$A27&lt;1</formula>
    </cfRule>
  </conditionalFormatting>
  <conditionalFormatting sqref="T33:T37">
    <cfRule type="expression" dxfId="2003" priority="1953" stopIfTrue="1">
      <formula>$A33&lt;1</formula>
    </cfRule>
  </conditionalFormatting>
  <conditionalFormatting sqref="T27:T45">
    <cfRule type="expression" dxfId="2002" priority="1952" stopIfTrue="1">
      <formula>$A27&lt;1</formula>
    </cfRule>
  </conditionalFormatting>
  <conditionalFormatting sqref="T33:T37">
    <cfRule type="expression" dxfId="2001" priority="1951" stopIfTrue="1">
      <formula>$A33&lt;1</formula>
    </cfRule>
  </conditionalFormatting>
  <conditionalFormatting sqref="T27:T45">
    <cfRule type="expression" dxfId="2000" priority="1950" stopIfTrue="1">
      <formula>$A27&lt;1</formula>
    </cfRule>
  </conditionalFormatting>
  <conditionalFormatting sqref="T33:T37">
    <cfRule type="expression" dxfId="1999" priority="1949" stopIfTrue="1">
      <formula>$A33&lt;1</formula>
    </cfRule>
  </conditionalFormatting>
  <conditionalFormatting sqref="T27:T45">
    <cfRule type="expression" dxfId="1998" priority="1948" stopIfTrue="1">
      <formula>$A27&lt;1</formula>
    </cfRule>
  </conditionalFormatting>
  <conditionalFormatting sqref="T33:T37">
    <cfRule type="expression" dxfId="1997" priority="1947" stopIfTrue="1">
      <formula>$A33&lt;1</formula>
    </cfRule>
  </conditionalFormatting>
  <conditionalFormatting sqref="T27:T45">
    <cfRule type="expression" dxfId="1996" priority="1946" stopIfTrue="1">
      <formula>$A27&lt;1</formula>
    </cfRule>
  </conditionalFormatting>
  <conditionalFormatting sqref="T33:T37">
    <cfRule type="expression" dxfId="1995" priority="1945" stopIfTrue="1">
      <formula>$A33&lt;1</formula>
    </cfRule>
  </conditionalFormatting>
  <conditionalFormatting sqref="T27:T45">
    <cfRule type="expression" dxfId="1994" priority="1944" stopIfTrue="1">
      <formula>$A27&lt;1</formula>
    </cfRule>
  </conditionalFormatting>
  <conditionalFormatting sqref="T33:T37">
    <cfRule type="expression" dxfId="1993" priority="1943" stopIfTrue="1">
      <formula>$A33&lt;1</formula>
    </cfRule>
  </conditionalFormatting>
  <conditionalFormatting sqref="T27:T45">
    <cfRule type="expression" dxfId="1992" priority="1942" stopIfTrue="1">
      <formula>$A27&lt;1</formula>
    </cfRule>
  </conditionalFormatting>
  <conditionalFormatting sqref="T33:T37">
    <cfRule type="expression" dxfId="1991" priority="1941" stopIfTrue="1">
      <formula>$A33&lt;1</formula>
    </cfRule>
  </conditionalFormatting>
  <conditionalFormatting sqref="T27:T45">
    <cfRule type="expression" dxfId="1990" priority="1940" stopIfTrue="1">
      <formula>$A27&lt;1</formula>
    </cfRule>
  </conditionalFormatting>
  <conditionalFormatting sqref="T33:T37">
    <cfRule type="expression" dxfId="1989" priority="1939" stopIfTrue="1">
      <formula>$A33&lt;1</formula>
    </cfRule>
  </conditionalFormatting>
  <conditionalFormatting sqref="T27:T45">
    <cfRule type="expression" dxfId="1988" priority="1938" stopIfTrue="1">
      <formula>$A27&lt;1</formula>
    </cfRule>
  </conditionalFormatting>
  <conditionalFormatting sqref="T33:T37">
    <cfRule type="expression" dxfId="1987" priority="1937" stopIfTrue="1">
      <formula>$A33&lt;1</formula>
    </cfRule>
  </conditionalFormatting>
  <conditionalFormatting sqref="T27:T45">
    <cfRule type="expression" dxfId="1986" priority="1936" stopIfTrue="1">
      <formula>$A27&lt;1</formula>
    </cfRule>
  </conditionalFormatting>
  <conditionalFormatting sqref="T33:T37">
    <cfRule type="expression" dxfId="1985" priority="1935" stopIfTrue="1">
      <formula>$A33&lt;1</formula>
    </cfRule>
  </conditionalFormatting>
  <conditionalFormatting sqref="T27:T45">
    <cfRule type="expression" dxfId="1984" priority="1934" stopIfTrue="1">
      <formula>$A27&lt;1</formula>
    </cfRule>
  </conditionalFormatting>
  <conditionalFormatting sqref="T33:T37">
    <cfRule type="expression" dxfId="1983" priority="1933" stopIfTrue="1">
      <formula>$A33&lt;1</formula>
    </cfRule>
  </conditionalFormatting>
  <conditionalFormatting sqref="T27:T45">
    <cfRule type="expression" dxfId="1982" priority="1932" stopIfTrue="1">
      <formula>$A27&lt;1</formula>
    </cfRule>
  </conditionalFormatting>
  <conditionalFormatting sqref="T33:T37">
    <cfRule type="expression" dxfId="1981" priority="1931" stopIfTrue="1">
      <formula>$A33&lt;1</formula>
    </cfRule>
  </conditionalFormatting>
  <conditionalFormatting sqref="T27:T45">
    <cfRule type="expression" dxfId="1980" priority="1930" stopIfTrue="1">
      <formula>$A27&lt;1</formula>
    </cfRule>
  </conditionalFormatting>
  <conditionalFormatting sqref="T33:T37">
    <cfRule type="expression" dxfId="1979" priority="1929" stopIfTrue="1">
      <formula>$A33&lt;1</formula>
    </cfRule>
  </conditionalFormatting>
  <conditionalFormatting sqref="T27:T45">
    <cfRule type="expression" dxfId="1978" priority="1928" stopIfTrue="1">
      <formula>$A27&lt;1</formula>
    </cfRule>
  </conditionalFormatting>
  <conditionalFormatting sqref="T33:T37">
    <cfRule type="expression" dxfId="1977" priority="1927" stopIfTrue="1">
      <formula>$A33&lt;1</formula>
    </cfRule>
  </conditionalFormatting>
  <conditionalFormatting sqref="T27:T45">
    <cfRule type="expression" dxfId="1976" priority="1926" stopIfTrue="1">
      <formula>$A27&lt;1</formula>
    </cfRule>
  </conditionalFormatting>
  <conditionalFormatting sqref="T33:T37">
    <cfRule type="expression" dxfId="1975" priority="1925" stopIfTrue="1">
      <formula>$A33&lt;1</formula>
    </cfRule>
  </conditionalFormatting>
  <conditionalFormatting sqref="T27:T45">
    <cfRule type="expression" dxfId="1974" priority="1924" stopIfTrue="1">
      <formula>$A27&lt;1</formula>
    </cfRule>
  </conditionalFormatting>
  <conditionalFormatting sqref="T33:T37">
    <cfRule type="expression" dxfId="1973" priority="1923" stopIfTrue="1">
      <formula>$A33&lt;1</formula>
    </cfRule>
  </conditionalFormatting>
  <conditionalFormatting sqref="T27:T45">
    <cfRule type="expression" dxfId="1972" priority="1922" stopIfTrue="1">
      <formula>$A27&lt;1</formula>
    </cfRule>
  </conditionalFormatting>
  <conditionalFormatting sqref="T33:T37">
    <cfRule type="expression" dxfId="1971" priority="1921" stopIfTrue="1">
      <formula>$A33&lt;1</formula>
    </cfRule>
  </conditionalFormatting>
  <conditionalFormatting sqref="T27:T45">
    <cfRule type="expression" dxfId="1970" priority="1920" stopIfTrue="1">
      <formula>$A27&lt;1</formula>
    </cfRule>
  </conditionalFormatting>
  <conditionalFormatting sqref="T33:T37">
    <cfRule type="expression" dxfId="1969" priority="1919" stopIfTrue="1">
      <formula>$A33&lt;1</formula>
    </cfRule>
  </conditionalFormatting>
  <conditionalFormatting sqref="T27:T45">
    <cfRule type="expression" dxfId="1968" priority="1918" stopIfTrue="1">
      <formula>$A27&lt;1</formula>
    </cfRule>
  </conditionalFormatting>
  <conditionalFormatting sqref="T33:T37">
    <cfRule type="expression" dxfId="1967" priority="1917" stopIfTrue="1">
      <formula>$A33&lt;1</formula>
    </cfRule>
  </conditionalFormatting>
  <conditionalFormatting sqref="T27:T45">
    <cfRule type="expression" dxfId="1966" priority="1916" stopIfTrue="1">
      <formula>$A27&lt;1</formula>
    </cfRule>
  </conditionalFormatting>
  <conditionalFormatting sqref="T33:T37">
    <cfRule type="expression" dxfId="1965" priority="1915" stopIfTrue="1">
      <formula>$A33&lt;1</formula>
    </cfRule>
  </conditionalFormatting>
  <conditionalFormatting sqref="T27:T45">
    <cfRule type="expression" dxfId="1964" priority="1914" stopIfTrue="1">
      <formula>$A27&lt;1</formula>
    </cfRule>
  </conditionalFormatting>
  <conditionalFormatting sqref="T33:T37">
    <cfRule type="expression" dxfId="1963" priority="1913" stopIfTrue="1">
      <formula>$A33&lt;1</formula>
    </cfRule>
  </conditionalFormatting>
  <conditionalFormatting sqref="T27:T45">
    <cfRule type="expression" dxfId="1962" priority="1912" stopIfTrue="1">
      <formula>$A27&lt;1</formula>
    </cfRule>
  </conditionalFormatting>
  <conditionalFormatting sqref="T33:T37">
    <cfRule type="expression" dxfId="1961" priority="1911" stopIfTrue="1">
      <formula>$A33&lt;1</formula>
    </cfRule>
  </conditionalFormatting>
  <conditionalFormatting sqref="T27:T45">
    <cfRule type="expression" dxfId="1960" priority="1910" stopIfTrue="1">
      <formula>$A27&lt;1</formula>
    </cfRule>
  </conditionalFormatting>
  <conditionalFormatting sqref="T33:T37">
    <cfRule type="expression" dxfId="1959" priority="1909" stopIfTrue="1">
      <formula>$A33&lt;1</formula>
    </cfRule>
  </conditionalFormatting>
  <conditionalFormatting sqref="T27:T45">
    <cfRule type="expression" dxfId="1958" priority="1908" stopIfTrue="1">
      <formula>$A27&lt;1</formula>
    </cfRule>
  </conditionalFormatting>
  <conditionalFormatting sqref="A27:A124 B26:B127 W126:W130 AC26:AC126 AD27:AG124 Q33:R125 S125 U26:W125 AF26 Y26:Y124 X27:X124 Z27:AB124 T33:T124 F26:G26 C27:P124">
    <cfRule type="expression" dxfId="1957" priority="1907" stopIfTrue="1">
      <formula>$A26&lt;1</formula>
    </cfRule>
  </conditionalFormatting>
  <conditionalFormatting sqref="A26 AD26:AG26 X26:AB26 F27:F119 N27:P122 Q27:R121 AF27:AF121 Y27:Y124 C26:T26 S27:S124 G27:G45">
    <cfRule type="expression" dxfId="1956" priority="1906" stopIfTrue="1">
      <formula>$A26&lt;1</formula>
    </cfRule>
  </conditionalFormatting>
  <conditionalFormatting sqref="T27:T45">
    <cfRule type="expression" dxfId="1955" priority="1905" stopIfTrue="1">
      <formula>$A27&lt;1</formula>
    </cfRule>
  </conditionalFormatting>
  <conditionalFormatting sqref="N26:P122">
    <cfRule type="expression" dxfId="1954" priority="1904" stopIfTrue="1">
      <formula>$A26&lt;1</formula>
    </cfRule>
  </conditionalFormatting>
  <conditionalFormatting sqref="F29">
    <cfRule type="expression" dxfId="1953" priority="1903" stopIfTrue="1">
      <formula>$A29&lt;1</formula>
    </cfRule>
  </conditionalFormatting>
  <conditionalFormatting sqref="A27:A124 B26:B127 W126:W130 AC26:AC126 AD27:AG124 Q33:R125 S125 U26:W125 AF26 Y26:Y124 X27:X124 Z27:AB124 T33:T124 F26:G26 C27:P124">
    <cfRule type="expression" dxfId="1952" priority="1902" stopIfTrue="1">
      <formula>$A26&lt;1</formula>
    </cfRule>
  </conditionalFormatting>
  <conditionalFormatting sqref="A26 AD26:AG26 X26:AB26 F27:F119 N27:P122 Q27:R121 AF27:AF121 Y27:Y124 C26:T26 S27:S124 G27:G45">
    <cfRule type="expression" dxfId="1951" priority="1901" stopIfTrue="1">
      <formula>$A26&lt;1</formula>
    </cfRule>
  </conditionalFormatting>
  <conditionalFormatting sqref="T27:T45">
    <cfRule type="expression" dxfId="1950" priority="1900" stopIfTrue="1">
      <formula>$A27&lt;1</formula>
    </cfRule>
  </conditionalFormatting>
  <conditionalFormatting sqref="N26:P122">
    <cfRule type="expression" dxfId="1949" priority="1899" stopIfTrue="1">
      <formula>$A26&lt;1</formula>
    </cfRule>
  </conditionalFormatting>
  <conditionalFormatting sqref="F29">
    <cfRule type="expression" dxfId="1948" priority="1898" stopIfTrue="1">
      <formula>$A29&lt;1</formula>
    </cfRule>
  </conditionalFormatting>
  <conditionalFormatting sqref="C26">
    <cfRule type="expression" dxfId="1947" priority="1897" stopIfTrue="1">
      <formula>$A26&lt;1</formula>
    </cfRule>
  </conditionalFormatting>
  <conditionalFormatting sqref="C26">
    <cfRule type="expression" dxfId="1946" priority="1896" stopIfTrue="1">
      <formula>$A26&lt;1</formula>
    </cfRule>
  </conditionalFormatting>
  <conditionalFormatting sqref="D26">
    <cfRule type="expression" dxfId="1945" priority="1895" stopIfTrue="1">
      <formula>$A26&lt;1</formula>
    </cfRule>
  </conditionalFormatting>
  <conditionalFormatting sqref="D26">
    <cfRule type="expression" dxfId="1944" priority="1894" stopIfTrue="1">
      <formula>$A26&lt;1</formula>
    </cfRule>
  </conditionalFormatting>
  <conditionalFormatting sqref="E26">
    <cfRule type="expression" dxfId="1943" priority="1893" stopIfTrue="1">
      <formula>$A26&lt;1</formula>
    </cfRule>
  </conditionalFormatting>
  <conditionalFormatting sqref="E26">
    <cfRule type="expression" dxfId="1942" priority="1892" stopIfTrue="1">
      <formula>$A26&lt;1</formula>
    </cfRule>
  </conditionalFormatting>
  <conditionalFormatting sqref="E27">
    <cfRule type="expression" dxfId="1941" priority="1891" stopIfTrue="1">
      <formula>$A27&lt;1</formula>
    </cfRule>
  </conditionalFormatting>
  <conditionalFormatting sqref="E27">
    <cfRule type="expression" dxfId="1940" priority="1890" stopIfTrue="1">
      <formula>$A27&lt;1</formula>
    </cfRule>
  </conditionalFormatting>
  <conditionalFormatting sqref="E27">
    <cfRule type="expression" dxfId="1939" priority="1889" stopIfTrue="1">
      <formula>$A27&lt;1</formula>
    </cfRule>
  </conditionalFormatting>
  <conditionalFormatting sqref="E27">
    <cfRule type="expression" dxfId="1938" priority="1888" stopIfTrue="1">
      <formula>$A27&lt;1</formula>
    </cfRule>
  </conditionalFormatting>
  <conditionalFormatting sqref="E28:E122">
    <cfRule type="expression" dxfId="1937" priority="1887" stopIfTrue="1">
      <formula>$A28&lt;1</formula>
    </cfRule>
  </conditionalFormatting>
  <conditionalFormatting sqref="E28:E122">
    <cfRule type="expression" dxfId="1936" priority="1886" stopIfTrue="1">
      <formula>$A28&lt;1</formula>
    </cfRule>
  </conditionalFormatting>
  <conditionalFormatting sqref="E28:E122">
    <cfRule type="expression" dxfId="1935" priority="1885" stopIfTrue="1">
      <formula>$A28&lt;1</formula>
    </cfRule>
  </conditionalFormatting>
  <conditionalFormatting sqref="E28:E122">
    <cfRule type="expression" dxfId="1934" priority="1884" stopIfTrue="1">
      <formula>$A28&lt;1</formula>
    </cfRule>
  </conditionalFormatting>
  <conditionalFormatting sqref="A27:A124 B26:B127 W126:W130 AC26:AC126 AD27:AG124 Q33:R125 S125 U26:W125 AF26 Y26:Y124 X27:X124 Z27:AB124 T33:T124 F26:G26 C27:P124">
    <cfRule type="expression" dxfId="1933" priority="1883" stopIfTrue="1">
      <formula>$A26&lt;1</formula>
    </cfRule>
  </conditionalFormatting>
  <conditionalFormatting sqref="A26 AD26:AG26 X26:AB26 F27:F119 N27:P122 Q27:R121 AF27:AF121 Y27:Y124 C26:T26 S27:S124 G27:G45">
    <cfRule type="expression" dxfId="1932" priority="1882" stopIfTrue="1">
      <formula>$A26&lt;1</formula>
    </cfRule>
  </conditionalFormatting>
  <conditionalFormatting sqref="T27:T45">
    <cfRule type="expression" dxfId="1931" priority="1881" stopIfTrue="1">
      <formula>$A27&lt;1</formula>
    </cfRule>
  </conditionalFormatting>
  <conditionalFormatting sqref="N26:P122">
    <cfRule type="expression" dxfId="1930" priority="1880" stopIfTrue="1">
      <formula>$A26&lt;1</formula>
    </cfRule>
  </conditionalFormatting>
  <conditionalFormatting sqref="F29">
    <cfRule type="expression" dxfId="1929" priority="1879" stopIfTrue="1">
      <formula>$A29&lt;1</formula>
    </cfRule>
  </conditionalFormatting>
  <conditionalFormatting sqref="A27:A124 B26:B127 W126:W130 AC26:AC126 AD27:AG124 Q33:R125 S125 U26:W125 AF26 Y26:Y124 X27:X124 Z27:AB124 T33:T124 F26:G26 C27:P124">
    <cfRule type="expression" dxfId="1928" priority="1878" stopIfTrue="1">
      <formula>$A26&lt;1</formula>
    </cfRule>
  </conditionalFormatting>
  <conditionalFormatting sqref="A26 AD26:AG26 X26:AB26 F27:F119 N27:P122 Q27:R121 AF27:AF121 Y27:Y124 C26:T26 S27:S124 G27:G45">
    <cfRule type="expression" dxfId="1927" priority="1877" stopIfTrue="1">
      <formula>$A26&lt;1</formula>
    </cfRule>
  </conditionalFormatting>
  <conditionalFormatting sqref="T27:T45">
    <cfRule type="expression" dxfId="1926" priority="1876" stopIfTrue="1">
      <formula>$A27&lt;1</formula>
    </cfRule>
  </conditionalFormatting>
  <conditionalFormatting sqref="N26:P122">
    <cfRule type="expression" dxfId="1925" priority="1875" stopIfTrue="1">
      <formula>$A26&lt;1</formula>
    </cfRule>
  </conditionalFormatting>
  <conditionalFormatting sqref="F29">
    <cfRule type="expression" dxfId="1924" priority="1874" stopIfTrue="1">
      <formula>$A29&lt;1</formula>
    </cfRule>
  </conditionalFormatting>
  <conditionalFormatting sqref="C26">
    <cfRule type="expression" dxfId="1923" priority="1873" stopIfTrue="1">
      <formula>$A26&lt;1</formula>
    </cfRule>
  </conditionalFormatting>
  <conditionalFormatting sqref="C26">
    <cfRule type="expression" dxfId="1922" priority="1872" stopIfTrue="1">
      <formula>$A26&lt;1</formula>
    </cfRule>
  </conditionalFormatting>
  <conditionalFormatting sqref="D26">
    <cfRule type="expression" dxfId="1921" priority="1871" stopIfTrue="1">
      <formula>$A26&lt;1</formula>
    </cfRule>
  </conditionalFormatting>
  <conditionalFormatting sqref="D26">
    <cfRule type="expression" dxfId="1920" priority="1870" stopIfTrue="1">
      <formula>$A26&lt;1</formula>
    </cfRule>
  </conditionalFormatting>
  <conditionalFormatting sqref="E26">
    <cfRule type="expression" dxfId="1919" priority="1869" stopIfTrue="1">
      <formula>$A26&lt;1</formula>
    </cfRule>
  </conditionalFormatting>
  <conditionalFormatting sqref="E26">
    <cfRule type="expression" dxfId="1918" priority="1868" stopIfTrue="1">
      <formula>$A26&lt;1</formula>
    </cfRule>
  </conditionalFormatting>
  <conditionalFormatting sqref="E27">
    <cfRule type="expression" dxfId="1917" priority="1867" stopIfTrue="1">
      <formula>$A27&lt;1</formula>
    </cfRule>
  </conditionalFormatting>
  <conditionalFormatting sqref="E27">
    <cfRule type="expression" dxfId="1916" priority="1866" stopIfTrue="1">
      <formula>$A27&lt;1</formula>
    </cfRule>
  </conditionalFormatting>
  <conditionalFormatting sqref="E27">
    <cfRule type="expression" dxfId="1915" priority="1865" stopIfTrue="1">
      <formula>$A27&lt;1</formula>
    </cfRule>
  </conditionalFormatting>
  <conditionalFormatting sqref="E27">
    <cfRule type="expression" dxfId="1914" priority="1864" stopIfTrue="1">
      <formula>$A27&lt;1</formula>
    </cfRule>
  </conditionalFormatting>
  <conditionalFormatting sqref="E28:E122">
    <cfRule type="expression" dxfId="1913" priority="1863" stopIfTrue="1">
      <formula>$A28&lt;1</formula>
    </cfRule>
  </conditionalFormatting>
  <conditionalFormatting sqref="E28:E122">
    <cfRule type="expression" dxfId="1912" priority="1862" stopIfTrue="1">
      <formula>$A28&lt;1</formula>
    </cfRule>
  </conditionalFormatting>
  <conditionalFormatting sqref="E28:E122">
    <cfRule type="expression" dxfId="1911" priority="1861" stopIfTrue="1">
      <formula>$A28&lt;1</formula>
    </cfRule>
  </conditionalFormatting>
  <conditionalFormatting sqref="E28:E122">
    <cfRule type="expression" dxfId="1910" priority="1860" stopIfTrue="1">
      <formula>$A28&lt;1</formula>
    </cfRule>
  </conditionalFormatting>
  <conditionalFormatting sqref="A27:A124 B26:B127 W126:W130 AC26:AC126 AD27:AG124 Q33:R125 S125 U26:W125 AF26 Y26:Y124 X27:X124 Z27:AB124 T33:T124 F26:G26 C27:P124">
    <cfRule type="expression" dxfId="1909" priority="1859" stopIfTrue="1">
      <formula>$A26&lt;1</formula>
    </cfRule>
  </conditionalFormatting>
  <conditionalFormatting sqref="A26 AD26:AG26 X26:AB26 F27:F119 N27:P122 Q27:R121 AF27:AF121 Y27:Y124 C26:T26 S27:S124 G27:G45">
    <cfRule type="expression" dxfId="1908" priority="1858" stopIfTrue="1">
      <formula>$A26&lt;1</formula>
    </cfRule>
  </conditionalFormatting>
  <conditionalFormatting sqref="T27:T45">
    <cfRule type="expression" dxfId="1907" priority="1857" stopIfTrue="1">
      <formula>$A27&lt;1</formula>
    </cfRule>
  </conditionalFormatting>
  <conditionalFormatting sqref="N26:P122">
    <cfRule type="expression" dxfId="1906" priority="1856" stopIfTrue="1">
      <formula>$A26&lt;1</formula>
    </cfRule>
  </conditionalFormatting>
  <conditionalFormatting sqref="F29">
    <cfRule type="expression" dxfId="1905" priority="1855" stopIfTrue="1">
      <formula>$A29&lt;1</formula>
    </cfRule>
  </conditionalFormatting>
  <conditionalFormatting sqref="A27:A124 B26:B127 W126:W130 AC26:AC126 AD27:AG124 Q33:R125 S125 U26:W125 AF26 Y26:Y124 X27:X124 Z27:AB124 T33:T124 F26:G26 C27:P124">
    <cfRule type="expression" dxfId="1904" priority="1854" stopIfTrue="1">
      <formula>$A26&lt;1</formula>
    </cfRule>
  </conditionalFormatting>
  <conditionalFormatting sqref="A26 AD26:AG26 X26:AB26 F27:F119 N27:P122 Q27:R121 AF27:AF121 Y27:Y124 C26:T26 S27:S124 G27:G45">
    <cfRule type="expression" dxfId="1903" priority="1853" stopIfTrue="1">
      <formula>$A26&lt;1</formula>
    </cfRule>
  </conditionalFormatting>
  <conditionalFormatting sqref="T27:T45">
    <cfRule type="expression" dxfId="1902" priority="1852" stopIfTrue="1">
      <formula>$A27&lt;1</formula>
    </cfRule>
  </conditionalFormatting>
  <conditionalFormatting sqref="N26:P122">
    <cfRule type="expression" dxfId="1901" priority="1851" stopIfTrue="1">
      <formula>$A26&lt;1</formula>
    </cfRule>
  </conditionalFormatting>
  <conditionalFormatting sqref="F29">
    <cfRule type="expression" dxfId="1900" priority="1850" stopIfTrue="1">
      <formula>$A29&lt;1</formula>
    </cfRule>
  </conditionalFormatting>
  <conditionalFormatting sqref="C26">
    <cfRule type="expression" dxfId="1899" priority="1849" stopIfTrue="1">
      <formula>$A26&lt;1</formula>
    </cfRule>
  </conditionalFormatting>
  <conditionalFormatting sqref="C26">
    <cfRule type="expression" dxfId="1898" priority="1848" stopIfTrue="1">
      <formula>$A26&lt;1</formula>
    </cfRule>
  </conditionalFormatting>
  <conditionalFormatting sqref="D26">
    <cfRule type="expression" dxfId="1897" priority="1847" stopIfTrue="1">
      <formula>$A26&lt;1</formula>
    </cfRule>
  </conditionalFormatting>
  <conditionalFormatting sqref="D26">
    <cfRule type="expression" dxfId="1896" priority="1846" stopIfTrue="1">
      <formula>$A26&lt;1</formula>
    </cfRule>
  </conditionalFormatting>
  <conditionalFormatting sqref="E26">
    <cfRule type="expression" dxfId="1895" priority="1845" stopIfTrue="1">
      <formula>$A26&lt;1</formula>
    </cfRule>
  </conditionalFormatting>
  <conditionalFormatting sqref="E26">
    <cfRule type="expression" dxfId="1894" priority="1844" stopIfTrue="1">
      <formula>$A26&lt;1</formula>
    </cfRule>
  </conditionalFormatting>
  <conditionalFormatting sqref="E27">
    <cfRule type="expression" dxfId="1893" priority="1843" stopIfTrue="1">
      <formula>$A27&lt;1</formula>
    </cfRule>
  </conditionalFormatting>
  <conditionalFormatting sqref="E27">
    <cfRule type="expression" dxfId="1892" priority="1842" stopIfTrue="1">
      <formula>$A27&lt;1</formula>
    </cfRule>
  </conditionalFormatting>
  <conditionalFormatting sqref="E27">
    <cfRule type="expression" dxfId="1891" priority="1841" stopIfTrue="1">
      <formula>$A27&lt;1</formula>
    </cfRule>
  </conditionalFormatting>
  <conditionalFormatting sqref="E27">
    <cfRule type="expression" dxfId="1890" priority="1840" stopIfTrue="1">
      <formula>$A27&lt;1</formula>
    </cfRule>
  </conditionalFormatting>
  <conditionalFormatting sqref="E28:E122">
    <cfRule type="expression" dxfId="1889" priority="1839" stopIfTrue="1">
      <formula>$A28&lt;1</formula>
    </cfRule>
  </conditionalFormatting>
  <conditionalFormatting sqref="E28:E122">
    <cfRule type="expression" dxfId="1888" priority="1838" stopIfTrue="1">
      <formula>$A28&lt;1</formula>
    </cfRule>
  </conditionalFormatting>
  <conditionalFormatting sqref="E28:E122">
    <cfRule type="expression" dxfId="1887" priority="1837" stopIfTrue="1">
      <formula>$A28&lt;1</formula>
    </cfRule>
  </conditionalFormatting>
  <conditionalFormatting sqref="E28:E122">
    <cfRule type="expression" dxfId="1886" priority="1836" stopIfTrue="1">
      <formula>$A28&lt;1</formula>
    </cfRule>
  </conditionalFormatting>
  <conditionalFormatting sqref="T33:T37">
    <cfRule type="expression" dxfId="1885" priority="1835" stopIfTrue="1">
      <formula>$A33&lt;1</formula>
    </cfRule>
  </conditionalFormatting>
  <conditionalFormatting sqref="T27:T45">
    <cfRule type="expression" dxfId="1884" priority="1834" stopIfTrue="1">
      <formula>$A27&lt;1</formula>
    </cfRule>
  </conditionalFormatting>
  <conditionalFormatting sqref="T33:T37">
    <cfRule type="expression" dxfId="1883" priority="1833" stopIfTrue="1">
      <formula>$A33&lt;1</formula>
    </cfRule>
  </conditionalFormatting>
  <conditionalFormatting sqref="T27:T45">
    <cfRule type="expression" dxfId="1882" priority="1832" stopIfTrue="1">
      <formula>$A27&lt;1</formula>
    </cfRule>
  </conditionalFormatting>
  <conditionalFormatting sqref="T33:T37">
    <cfRule type="expression" dxfId="1881" priority="1831" stopIfTrue="1">
      <formula>$A33&lt;1</formula>
    </cfRule>
  </conditionalFormatting>
  <conditionalFormatting sqref="T27:T45">
    <cfRule type="expression" dxfId="1880" priority="1830" stopIfTrue="1">
      <formula>$A27&lt;1</formula>
    </cfRule>
  </conditionalFormatting>
  <conditionalFormatting sqref="T33:T37">
    <cfRule type="expression" dxfId="1879" priority="1829" stopIfTrue="1">
      <formula>$A33&lt;1</formula>
    </cfRule>
  </conditionalFormatting>
  <conditionalFormatting sqref="T27:T45">
    <cfRule type="expression" dxfId="1878" priority="1828" stopIfTrue="1">
      <formula>$A27&lt;1</formula>
    </cfRule>
  </conditionalFormatting>
  <conditionalFormatting sqref="T33:T37">
    <cfRule type="expression" dxfId="1877" priority="1827" stopIfTrue="1">
      <formula>$A33&lt;1</formula>
    </cfRule>
  </conditionalFormatting>
  <conditionalFormatting sqref="T27:T45">
    <cfRule type="expression" dxfId="1876" priority="1826" stopIfTrue="1">
      <formula>$A27&lt;1</formula>
    </cfRule>
  </conditionalFormatting>
  <conditionalFormatting sqref="T33:T37">
    <cfRule type="expression" dxfId="1875" priority="1825" stopIfTrue="1">
      <formula>$A33&lt;1</formula>
    </cfRule>
  </conditionalFormatting>
  <conditionalFormatting sqref="T27:T45">
    <cfRule type="expression" dxfId="1874" priority="1824" stopIfTrue="1">
      <formula>$A27&lt;1</formula>
    </cfRule>
  </conditionalFormatting>
  <conditionalFormatting sqref="T33:T37">
    <cfRule type="expression" dxfId="1873" priority="1823" stopIfTrue="1">
      <formula>$A33&lt;1</formula>
    </cfRule>
  </conditionalFormatting>
  <conditionalFormatting sqref="T27:T45">
    <cfRule type="expression" dxfId="1872" priority="1822" stopIfTrue="1">
      <formula>$A27&lt;1</formula>
    </cfRule>
  </conditionalFormatting>
  <conditionalFormatting sqref="T33:T37">
    <cfRule type="expression" dxfId="1871" priority="1821" stopIfTrue="1">
      <formula>$A33&lt;1</formula>
    </cfRule>
  </conditionalFormatting>
  <conditionalFormatting sqref="T27:T45">
    <cfRule type="expression" dxfId="1870" priority="1820" stopIfTrue="1">
      <formula>$A27&lt;1</formula>
    </cfRule>
  </conditionalFormatting>
  <conditionalFormatting sqref="T33:T37">
    <cfRule type="expression" dxfId="1869" priority="1819" stopIfTrue="1">
      <formula>$A33&lt;1</formula>
    </cfRule>
  </conditionalFormatting>
  <conditionalFormatting sqref="T27:T45">
    <cfRule type="expression" dxfId="1868" priority="1818" stopIfTrue="1">
      <formula>$A27&lt;1</formula>
    </cfRule>
  </conditionalFormatting>
  <conditionalFormatting sqref="T33:T37">
    <cfRule type="expression" dxfId="1867" priority="1817" stopIfTrue="1">
      <formula>$A33&lt;1</formula>
    </cfRule>
  </conditionalFormatting>
  <conditionalFormatting sqref="T27:T45">
    <cfRule type="expression" dxfId="1866" priority="1816" stopIfTrue="1">
      <formula>$A27&lt;1</formula>
    </cfRule>
  </conditionalFormatting>
  <conditionalFormatting sqref="T33:T37">
    <cfRule type="expression" dxfId="1865" priority="1815" stopIfTrue="1">
      <formula>$A33&lt;1</formula>
    </cfRule>
  </conditionalFormatting>
  <conditionalFormatting sqref="T27:T45">
    <cfRule type="expression" dxfId="1864" priority="1814" stopIfTrue="1">
      <formula>$A27&lt;1</formula>
    </cfRule>
  </conditionalFormatting>
  <conditionalFormatting sqref="T33:T37">
    <cfRule type="expression" dxfId="1863" priority="1813" stopIfTrue="1">
      <formula>$A33&lt;1</formula>
    </cfRule>
  </conditionalFormatting>
  <conditionalFormatting sqref="T27:T45">
    <cfRule type="expression" dxfId="1862" priority="1812" stopIfTrue="1">
      <formula>$A27&lt;1</formula>
    </cfRule>
  </conditionalFormatting>
  <conditionalFormatting sqref="T33:T37">
    <cfRule type="expression" dxfId="1861" priority="1811" stopIfTrue="1">
      <formula>$A33&lt;1</formula>
    </cfRule>
  </conditionalFormatting>
  <conditionalFormatting sqref="T27:T45">
    <cfRule type="expression" dxfId="1860" priority="1810" stopIfTrue="1">
      <formula>$A27&lt;1</formula>
    </cfRule>
  </conditionalFormatting>
  <conditionalFormatting sqref="T33:T37">
    <cfRule type="expression" dxfId="1859" priority="1809" stopIfTrue="1">
      <formula>$A33&lt;1</formula>
    </cfRule>
  </conditionalFormatting>
  <conditionalFormatting sqref="T27:T45">
    <cfRule type="expression" dxfId="1858" priority="1808" stopIfTrue="1">
      <formula>$A27&lt;1</formula>
    </cfRule>
  </conditionalFormatting>
  <conditionalFormatting sqref="T33:T37">
    <cfRule type="expression" dxfId="1857" priority="1807" stopIfTrue="1">
      <formula>$A33&lt;1</formula>
    </cfRule>
  </conditionalFormatting>
  <conditionalFormatting sqref="T27:T45">
    <cfRule type="expression" dxfId="1856" priority="1806" stopIfTrue="1">
      <formula>$A27&lt;1</formula>
    </cfRule>
  </conditionalFormatting>
  <conditionalFormatting sqref="T33:T37">
    <cfRule type="expression" dxfId="1855" priority="1805" stopIfTrue="1">
      <formula>$A33&lt;1</formula>
    </cfRule>
  </conditionalFormatting>
  <conditionalFormatting sqref="T27:T45">
    <cfRule type="expression" dxfId="1854" priority="1804" stopIfTrue="1">
      <formula>$A27&lt;1</formula>
    </cfRule>
  </conditionalFormatting>
  <conditionalFormatting sqref="T33:T37">
    <cfRule type="expression" dxfId="1853" priority="1803" stopIfTrue="1">
      <formula>$A33&lt;1</formula>
    </cfRule>
  </conditionalFormatting>
  <conditionalFormatting sqref="T27:T45">
    <cfRule type="expression" dxfId="1852" priority="1802" stopIfTrue="1">
      <formula>$A27&lt;1</formula>
    </cfRule>
  </conditionalFormatting>
  <conditionalFormatting sqref="T33:T37">
    <cfRule type="expression" dxfId="1851" priority="1801" stopIfTrue="1">
      <formula>$A33&lt;1</formula>
    </cfRule>
  </conditionalFormatting>
  <conditionalFormatting sqref="T27:T45">
    <cfRule type="expression" dxfId="1850" priority="1800" stopIfTrue="1">
      <formula>$A27&lt;1</formula>
    </cfRule>
  </conditionalFormatting>
  <conditionalFormatting sqref="T33:T37">
    <cfRule type="expression" dxfId="1849" priority="1799" stopIfTrue="1">
      <formula>$A33&lt;1</formula>
    </cfRule>
  </conditionalFormatting>
  <conditionalFormatting sqref="T27:T45">
    <cfRule type="expression" dxfId="1848" priority="1798" stopIfTrue="1">
      <formula>$A27&lt;1</formula>
    </cfRule>
  </conditionalFormatting>
  <conditionalFormatting sqref="T33:T37">
    <cfRule type="expression" dxfId="1847" priority="1797" stopIfTrue="1">
      <formula>$A33&lt;1</formula>
    </cfRule>
  </conditionalFormatting>
  <conditionalFormatting sqref="T27:T45">
    <cfRule type="expression" dxfId="1846" priority="1796" stopIfTrue="1">
      <formula>$A27&lt;1</formula>
    </cfRule>
  </conditionalFormatting>
  <conditionalFormatting sqref="T33:T37">
    <cfRule type="expression" dxfId="1845" priority="1795" stopIfTrue="1">
      <formula>$A33&lt;1</formula>
    </cfRule>
  </conditionalFormatting>
  <conditionalFormatting sqref="T27:T45">
    <cfRule type="expression" dxfId="1844" priority="1794" stopIfTrue="1">
      <formula>$A27&lt;1</formula>
    </cfRule>
  </conditionalFormatting>
  <conditionalFormatting sqref="T33:T37">
    <cfRule type="expression" dxfId="1843" priority="1793" stopIfTrue="1">
      <formula>$A33&lt;1</formula>
    </cfRule>
  </conditionalFormatting>
  <conditionalFormatting sqref="T27:T45">
    <cfRule type="expression" dxfId="1842" priority="1792" stopIfTrue="1">
      <formula>$A27&lt;1</formula>
    </cfRule>
  </conditionalFormatting>
  <conditionalFormatting sqref="T33:T37">
    <cfRule type="expression" dxfId="1841" priority="1791" stopIfTrue="1">
      <formula>$A33&lt;1</formula>
    </cfRule>
  </conditionalFormatting>
  <conditionalFormatting sqref="T27:T45">
    <cfRule type="expression" dxfId="1840" priority="1790" stopIfTrue="1">
      <formula>$A27&lt;1</formula>
    </cfRule>
  </conditionalFormatting>
  <conditionalFormatting sqref="T33:T37">
    <cfRule type="expression" dxfId="1839" priority="1789" stopIfTrue="1">
      <formula>$A33&lt;1</formula>
    </cfRule>
  </conditionalFormatting>
  <conditionalFormatting sqref="T27:T45">
    <cfRule type="expression" dxfId="1838" priority="1788" stopIfTrue="1">
      <formula>$A27&lt;1</formula>
    </cfRule>
  </conditionalFormatting>
  <conditionalFormatting sqref="T33:T37">
    <cfRule type="expression" dxfId="1837" priority="1787" stopIfTrue="1">
      <formula>$A33&lt;1</formula>
    </cfRule>
  </conditionalFormatting>
  <conditionalFormatting sqref="T27:T45">
    <cfRule type="expression" dxfId="1836" priority="1786" stopIfTrue="1">
      <formula>$A27&lt;1</formula>
    </cfRule>
  </conditionalFormatting>
  <conditionalFormatting sqref="T33:T37">
    <cfRule type="expression" dxfId="1835" priority="1785" stopIfTrue="1">
      <formula>$A33&lt;1</formula>
    </cfRule>
  </conditionalFormatting>
  <conditionalFormatting sqref="T27:T45">
    <cfRule type="expression" dxfId="1834" priority="1784" stopIfTrue="1">
      <formula>$A27&lt;1</formula>
    </cfRule>
  </conditionalFormatting>
  <conditionalFormatting sqref="T33:T37">
    <cfRule type="expression" dxfId="1833" priority="1783" stopIfTrue="1">
      <formula>$A33&lt;1</formula>
    </cfRule>
  </conditionalFormatting>
  <conditionalFormatting sqref="T27:T45">
    <cfRule type="expression" dxfId="1832" priority="1782" stopIfTrue="1">
      <formula>$A27&lt;1</formula>
    </cfRule>
  </conditionalFormatting>
  <conditionalFormatting sqref="T33:T37">
    <cfRule type="expression" dxfId="1831" priority="1781" stopIfTrue="1">
      <formula>$A33&lt;1</formula>
    </cfRule>
  </conditionalFormatting>
  <conditionalFormatting sqref="T27:T45">
    <cfRule type="expression" dxfId="1830" priority="1780" stopIfTrue="1">
      <formula>$A27&lt;1</formula>
    </cfRule>
  </conditionalFormatting>
  <conditionalFormatting sqref="T33:T37">
    <cfRule type="expression" dxfId="1829" priority="1779" stopIfTrue="1">
      <formula>$A33&lt;1</formula>
    </cfRule>
  </conditionalFormatting>
  <conditionalFormatting sqref="T27:T45">
    <cfRule type="expression" dxfId="1828" priority="1778" stopIfTrue="1">
      <formula>$A27&lt;1</formula>
    </cfRule>
  </conditionalFormatting>
  <conditionalFormatting sqref="T33:T37">
    <cfRule type="expression" dxfId="1827" priority="1777" stopIfTrue="1">
      <formula>$A33&lt;1</formula>
    </cfRule>
  </conditionalFormatting>
  <conditionalFormatting sqref="T27:T45">
    <cfRule type="expression" dxfId="1826" priority="1776" stopIfTrue="1">
      <formula>$A27&lt;1</formula>
    </cfRule>
  </conditionalFormatting>
  <conditionalFormatting sqref="T33:T37">
    <cfRule type="expression" dxfId="1825" priority="1775" stopIfTrue="1">
      <formula>$A33&lt;1</formula>
    </cfRule>
  </conditionalFormatting>
  <conditionalFormatting sqref="T27:T45">
    <cfRule type="expression" dxfId="1824" priority="1774" stopIfTrue="1">
      <formula>$A27&lt;1</formula>
    </cfRule>
  </conditionalFormatting>
  <conditionalFormatting sqref="T33:T37">
    <cfRule type="expression" dxfId="1823" priority="1773" stopIfTrue="1">
      <formula>$A33&lt;1</formula>
    </cfRule>
  </conditionalFormatting>
  <conditionalFormatting sqref="T27:T45">
    <cfRule type="expression" dxfId="1822" priority="1772" stopIfTrue="1">
      <formula>$A27&lt;1</formula>
    </cfRule>
  </conditionalFormatting>
  <conditionalFormatting sqref="T33:T37">
    <cfRule type="expression" dxfId="1821" priority="1771" stopIfTrue="1">
      <formula>$A33&lt;1</formula>
    </cfRule>
  </conditionalFormatting>
  <conditionalFormatting sqref="T27:T45">
    <cfRule type="expression" dxfId="1820" priority="1770" stopIfTrue="1">
      <formula>$A27&lt;1</formula>
    </cfRule>
  </conditionalFormatting>
  <conditionalFormatting sqref="T33:T37">
    <cfRule type="expression" dxfId="1819" priority="1769" stopIfTrue="1">
      <formula>$A33&lt;1</formula>
    </cfRule>
  </conditionalFormatting>
  <conditionalFormatting sqref="T27:T45">
    <cfRule type="expression" dxfId="1818" priority="1768" stopIfTrue="1">
      <formula>$A27&lt;1</formula>
    </cfRule>
  </conditionalFormatting>
  <conditionalFormatting sqref="T33:T37">
    <cfRule type="expression" dxfId="1817" priority="1767" stopIfTrue="1">
      <formula>$A33&lt;1</formula>
    </cfRule>
  </conditionalFormatting>
  <conditionalFormatting sqref="T27:T45">
    <cfRule type="expression" dxfId="1816" priority="1766" stopIfTrue="1">
      <formula>$A27&lt;1</formula>
    </cfRule>
  </conditionalFormatting>
  <conditionalFormatting sqref="T33:T37">
    <cfRule type="expression" dxfId="1815" priority="1765" stopIfTrue="1">
      <formula>$A33&lt;1</formula>
    </cfRule>
  </conditionalFormatting>
  <conditionalFormatting sqref="T27:T45">
    <cfRule type="expression" dxfId="1814" priority="1764" stopIfTrue="1">
      <formula>$A27&lt;1</formula>
    </cfRule>
  </conditionalFormatting>
  <conditionalFormatting sqref="T33:T37">
    <cfRule type="expression" dxfId="1813" priority="1763" stopIfTrue="1">
      <formula>$A33&lt;1</formula>
    </cfRule>
  </conditionalFormatting>
  <conditionalFormatting sqref="T27:T45">
    <cfRule type="expression" dxfId="1812" priority="1762" stopIfTrue="1">
      <formula>$A27&lt;1</formula>
    </cfRule>
  </conditionalFormatting>
  <conditionalFormatting sqref="T33:T37">
    <cfRule type="expression" dxfId="1811" priority="1761" stopIfTrue="1">
      <formula>$A33&lt;1</formula>
    </cfRule>
  </conditionalFormatting>
  <conditionalFormatting sqref="T27:T45">
    <cfRule type="expression" dxfId="1810" priority="1760" stopIfTrue="1">
      <formula>$A27&lt;1</formula>
    </cfRule>
  </conditionalFormatting>
  <conditionalFormatting sqref="T33:T37">
    <cfRule type="expression" dxfId="1809" priority="1759" stopIfTrue="1">
      <formula>$A33&lt;1</formula>
    </cfRule>
  </conditionalFormatting>
  <conditionalFormatting sqref="T27:T45">
    <cfRule type="expression" dxfId="1808" priority="1758" stopIfTrue="1">
      <formula>$A27&lt;1</formula>
    </cfRule>
  </conditionalFormatting>
  <conditionalFormatting sqref="T33:T37">
    <cfRule type="expression" dxfId="1807" priority="1757" stopIfTrue="1">
      <formula>$A33&lt;1</formula>
    </cfRule>
  </conditionalFormatting>
  <conditionalFormatting sqref="T27:T45">
    <cfRule type="expression" dxfId="1806" priority="1756" stopIfTrue="1">
      <formula>$A27&lt;1</formula>
    </cfRule>
  </conditionalFormatting>
  <conditionalFormatting sqref="T33:T37">
    <cfRule type="expression" dxfId="1805" priority="1755" stopIfTrue="1">
      <formula>$A33&lt;1</formula>
    </cfRule>
  </conditionalFormatting>
  <conditionalFormatting sqref="T27:T45">
    <cfRule type="expression" dxfId="1804" priority="1754" stopIfTrue="1">
      <formula>$A27&lt;1</formula>
    </cfRule>
  </conditionalFormatting>
  <conditionalFormatting sqref="T33:T37">
    <cfRule type="expression" dxfId="1803" priority="1753" stopIfTrue="1">
      <formula>$A33&lt;1</formula>
    </cfRule>
  </conditionalFormatting>
  <conditionalFormatting sqref="T27:T45">
    <cfRule type="expression" dxfId="1802" priority="1752" stopIfTrue="1">
      <formula>$A27&lt;1</formula>
    </cfRule>
  </conditionalFormatting>
  <conditionalFormatting sqref="T33:T37">
    <cfRule type="expression" dxfId="1801" priority="1751" stopIfTrue="1">
      <formula>$A33&lt;1</formula>
    </cfRule>
  </conditionalFormatting>
  <conditionalFormatting sqref="T27:T45">
    <cfRule type="expression" dxfId="1800" priority="1750" stopIfTrue="1">
      <formula>$A27&lt;1</formula>
    </cfRule>
  </conditionalFormatting>
  <conditionalFormatting sqref="T33:T37">
    <cfRule type="expression" dxfId="1799" priority="1749" stopIfTrue="1">
      <formula>$A33&lt;1</formula>
    </cfRule>
  </conditionalFormatting>
  <conditionalFormatting sqref="T27:T45">
    <cfRule type="expression" dxfId="1798" priority="1748" stopIfTrue="1">
      <formula>$A27&lt;1</formula>
    </cfRule>
  </conditionalFormatting>
  <conditionalFormatting sqref="T33:T37">
    <cfRule type="expression" dxfId="1797" priority="1747" stopIfTrue="1">
      <formula>$A33&lt;1</formula>
    </cfRule>
  </conditionalFormatting>
  <conditionalFormatting sqref="T27:T45">
    <cfRule type="expression" dxfId="1796" priority="1746" stopIfTrue="1">
      <formula>$A27&lt;1</formula>
    </cfRule>
  </conditionalFormatting>
  <conditionalFormatting sqref="T33:T37">
    <cfRule type="expression" dxfId="1795" priority="1745" stopIfTrue="1">
      <formula>$A33&lt;1</formula>
    </cfRule>
  </conditionalFormatting>
  <conditionalFormatting sqref="T27:T45">
    <cfRule type="expression" dxfId="1794" priority="1744" stopIfTrue="1">
      <formula>$A27&lt;1</formula>
    </cfRule>
  </conditionalFormatting>
  <conditionalFormatting sqref="T33:T37">
    <cfRule type="expression" dxfId="1793" priority="1743" stopIfTrue="1">
      <formula>$A33&lt;1</formula>
    </cfRule>
  </conditionalFormatting>
  <conditionalFormatting sqref="T27:T45">
    <cfRule type="expression" dxfId="1792" priority="1742" stopIfTrue="1">
      <formula>$A27&lt;1</formula>
    </cfRule>
  </conditionalFormatting>
  <conditionalFormatting sqref="T33:T37">
    <cfRule type="expression" dxfId="1791" priority="1741" stopIfTrue="1">
      <formula>$A33&lt;1</formula>
    </cfRule>
  </conditionalFormatting>
  <conditionalFormatting sqref="T27:T45">
    <cfRule type="expression" dxfId="1790" priority="1740" stopIfTrue="1">
      <formula>$A27&lt;1</formula>
    </cfRule>
  </conditionalFormatting>
  <conditionalFormatting sqref="T33:T37">
    <cfRule type="expression" dxfId="1789" priority="1739" stopIfTrue="1">
      <formula>$A33&lt;1</formula>
    </cfRule>
  </conditionalFormatting>
  <conditionalFormatting sqref="T27:T45">
    <cfRule type="expression" dxfId="1788" priority="1738" stopIfTrue="1">
      <formula>$A27&lt;1</formula>
    </cfRule>
  </conditionalFormatting>
  <conditionalFormatting sqref="T33:T37">
    <cfRule type="expression" dxfId="1787" priority="1737" stopIfTrue="1">
      <formula>$A33&lt;1</formula>
    </cfRule>
  </conditionalFormatting>
  <conditionalFormatting sqref="T27:T45">
    <cfRule type="expression" dxfId="1786" priority="1736" stopIfTrue="1">
      <formula>$A27&lt;1</formula>
    </cfRule>
  </conditionalFormatting>
  <conditionalFormatting sqref="T33:T37">
    <cfRule type="expression" dxfId="1785" priority="1735" stopIfTrue="1">
      <formula>$A33&lt;1</formula>
    </cfRule>
  </conditionalFormatting>
  <conditionalFormatting sqref="T27:T45">
    <cfRule type="expression" dxfId="1784" priority="1734" stopIfTrue="1">
      <formula>$A27&lt;1</formula>
    </cfRule>
  </conditionalFormatting>
  <conditionalFormatting sqref="T33:T37">
    <cfRule type="expression" dxfId="1783" priority="1733" stopIfTrue="1">
      <formula>$A33&lt;1</formula>
    </cfRule>
  </conditionalFormatting>
  <conditionalFormatting sqref="T27:T45">
    <cfRule type="expression" dxfId="1782" priority="1732" stopIfTrue="1">
      <formula>$A27&lt;1</formula>
    </cfRule>
  </conditionalFormatting>
  <conditionalFormatting sqref="T33:T37">
    <cfRule type="expression" dxfId="1781" priority="1731" stopIfTrue="1">
      <formula>$A33&lt;1</formula>
    </cfRule>
  </conditionalFormatting>
  <conditionalFormatting sqref="T27:T45">
    <cfRule type="expression" dxfId="1780" priority="1730" stopIfTrue="1">
      <formula>$A27&lt;1</formula>
    </cfRule>
  </conditionalFormatting>
  <conditionalFormatting sqref="T33:T37">
    <cfRule type="expression" dxfId="1779" priority="1729" stopIfTrue="1">
      <formula>$A33&lt;1</formula>
    </cfRule>
  </conditionalFormatting>
  <conditionalFormatting sqref="T27:T45">
    <cfRule type="expression" dxfId="1778" priority="1728" stopIfTrue="1">
      <formula>$A27&lt;1</formula>
    </cfRule>
  </conditionalFormatting>
  <conditionalFormatting sqref="T33:T37">
    <cfRule type="expression" dxfId="1777" priority="1727" stopIfTrue="1">
      <formula>$A33&lt;1</formula>
    </cfRule>
  </conditionalFormatting>
  <conditionalFormatting sqref="T27:T45">
    <cfRule type="expression" dxfId="1776" priority="1726" stopIfTrue="1">
      <formula>$A27&lt;1</formula>
    </cfRule>
  </conditionalFormatting>
  <conditionalFormatting sqref="T33:T37">
    <cfRule type="expression" dxfId="1775" priority="1725" stopIfTrue="1">
      <formula>$A33&lt;1</formula>
    </cfRule>
  </conditionalFormatting>
  <conditionalFormatting sqref="T27:T45">
    <cfRule type="expression" dxfId="1774" priority="1724" stopIfTrue="1">
      <formula>$A27&lt;1</formula>
    </cfRule>
  </conditionalFormatting>
  <conditionalFormatting sqref="T33:T37">
    <cfRule type="expression" dxfId="1773" priority="1723" stopIfTrue="1">
      <formula>$A33&lt;1</formula>
    </cfRule>
  </conditionalFormatting>
  <conditionalFormatting sqref="T27:T45">
    <cfRule type="expression" dxfId="1772" priority="1722" stopIfTrue="1">
      <formula>$A27&lt;1</formula>
    </cfRule>
  </conditionalFormatting>
  <conditionalFormatting sqref="T33:T37">
    <cfRule type="expression" dxfId="1771" priority="1721" stopIfTrue="1">
      <formula>$A33&lt;1</formula>
    </cfRule>
  </conditionalFormatting>
  <conditionalFormatting sqref="T27:T45">
    <cfRule type="expression" dxfId="1770" priority="1720" stopIfTrue="1">
      <formula>$A27&lt;1</formula>
    </cfRule>
  </conditionalFormatting>
  <conditionalFormatting sqref="T33:T37">
    <cfRule type="expression" dxfId="1769" priority="1719" stopIfTrue="1">
      <formula>$A33&lt;1</formula>
    </cfRule>
  </conditionalFormatting>
  <conditionalFormatting sqref="T27:T45">
    <cfRule type="expression" dxfId="1768" priority="1718" stopIfTrue="1">
      <formula>$A27&lt;1</formula>
    </cfRule>
  </conditionalFormatting>
  <conditionalFormatting sqref="T33:T37">
    <cfRule type="expression" dxfId="1767" priority="1717" stopIfTrue="1">
      <formula>$A33&lt;1</formula>
    </cfRule>
  </conditionalFormatting>
  <conditionalFormatting sqref="T27:T45">
    <cfRule type="expression" dxfId="1766" priority="1716" stopIfTrue="1">
      <formula>$A27&lt;1</formula>
    </cfRule>
  </conditionalFormatting>
  <conditionalFormatting sqref="T33:T37">
    <cfRule type="expression" dxfId="1765" priority="1715" stopIfTrue="1">
      <formula>$A33&lt;1</formula>
    </cfRule>
  </conditionalFormatting>
  <conditionalFormatting sqref="T27:T45">
    <cfRule type="expression" dxfId="1764" priority="1714" stopIfTrue="1">
      <formula>$A27&lt;1</formula>
    </cfRule>
  </conditionalFormatting>
  <conditionalFormatting sqref="T33:T37">
    <cfRule type="expression" dxfId="1763" priority="1713" stopIfTrue="1">
      <formula>$A33&lt;1</formula>
    </cfRule>
  </conditionalFormatting>
  <conditionalFormatting sqref="T27:T45">
    <cfRule type="expression" dxfId="1762" priority="1712" stopIfTrue="1">
      <formula>$A27&lt;1</formula>
    </cfRule>
  </conditionalFormatting>
  <conditionalFormatting sqref="T33:T37">
    <cfRule type="expression" dxfId="1761" priority="1711" stopIfTrue="1">
      <formula>$A33&lt;1</formula>
    </cfRule>
  </conditionalFormatting>
  <conditionalFormatting sqref="T27:T45">
    <cfRule type="expression" dxfId="1760" priority="1710" stopIfTrue="1">
      <formula>$A27&lt;1</formula>
    </cfRule>
  </conditionalFormatting>
  <conditionalFormatting sqref="T33:T37">
    <cfRule type="expression" dxfId="1759" priority="1709" stopIfTrue="1">
      <formula>$A33&lt;1</formula>
    </cfRule>
  </conditionalFormatting>
  <conditionalFormatting sqref="T27:T45">
    <cfRule type="expression" dxfId="1758" priority="1708" stopIfTrue="1">
      <formula>$A27&lt;1</formula>
    </cfRule>
  </conditionalFormatting>
  <conditionalFormatting sqref="T33:T37">
    <cfRule type="expression" dxfId="1757" priority="1707" stopIfTrue="1">
      <formula>$A33&lt;1</formula>
    </cfRule>
  </conditionalFormatting>
  <conditionalFormatting sqref="T27:T45">
    <cfRule type="expression" dxfId="1756" priority="1706" stopIfTrue="1">
      <formula>$A27&lt;1</formula>
    </cfRule>
  </conditionalFormatting>
  <conditionalFormatting sqref="T33:T37">
    <cfRule type="expression" dxfId="1755" priority="1705" stopIfTrue="1">
      <formula>$A33&lt;1</formula>
    </cfRule>
  </conditionalFormatting>
  <conditionalFormatting sqref="T27:T45">
    <cfRule type="expression" dxfId="1754" priority="1704" stopIfTrue="1">
      <formula>$A27&lt;1</formula>
    </cfRule>
  </conditionalFormatting>
  <conditionalFormatting sqref="T33:T37">
    <cfRule type="expression" dxfId="1753" priority="1703" stopIfTrue="1">
      <formula>$A33&lt;1</formula>
    </cfRule>
  </conditionalFormatting>
  <conditionalFormatting sqref="T27:T45">
    <cfRule type="expression" dxfId="1752" priority="1702" stopIfTrue="1">
      <formula>$A27&lt;1</formula>
    </cfRule>
  </conditionalFormatting>
  <conditionalFormatting sqref="T33:T37">
    <cfRule type="expression" dxfId="1751" priority="1701" stopIfTrue="1">
      <formula>$A33&lt;1</formula>
    </cfRule>
  </conditionalFormatting>
  <conditionalFormatting sqref="T27:T45">
    <cfRule type="expression" dxfId="1750" priority="1700" stopIfTrue="1">
      <formula>$A27&lt;1</formula>
    </cfRule>
  </conditionalFormatting>
  <conditionalFormatting sqref="T33:T37">
    <cfRule type="expression" dxfId="1749" priority="1699" stopIfTrue="1">
      <formula>$A33&lt;1</formula>
    </cfRule>
  </conditionalFormatting>
  <conditionalFormatting sqref="T27:T45">
    <cfRule type="expression" dxfId="1748" priority="1698" stopIfTrue="1">
      <formula>$A27&lt;1</formula>
    </cfRule>
  </conditionalFormatting>
  <conditionalFormatting sqref="T33:T37">
    <cfRule type="expression" dxfId="1747" priority="1697" stopIfTrue="1">
      <formula>$A33&lt;1</formula>
    </cfRule>
  </conditionalFormatting>
  <conditionalFormatting sqref="T27:T45">
    <cfRule type="expression" dxfId="1746" priority="1696" stopIfTrue="1">
      <formula>$A27&lt;1</formula>
    </cfRule>
  </conditionalFormatting>
  <conditionalFormatting sqref="T33:T37">
    <cfRule type="expression" dxfId="1745" priority="1695" stopIfTrue="1">
      <formula>$A33&lt;1</formula>
    </cfRule>
  </conditionalFormatting>
  <conditionalFormatting sqref="T27:T45">
    <cfRule type="expression" dxfId="1744" priority="1694" stopIfTrue="1">
      <formula>$A27&lt;1</formula>
    </cfRule>
  </conditionalFormatting>
  <conditionalFormatting sqref="T33:T37">
    <cfRule type="expression" dxfId="1743" priority="1693" stopIfTrue="1">
      <formula>$A33&lt;1</formula>
    </cfRule>
  </conditionalFormatting>
  <conditionalFormatting sqref="T27:T45">
    <cfRule type="expression" dxfId="1742" priority="1692" stopIfTrue="1">
      <formula>$A27&lt;1</formula>
    </cfRule>
  </conditionalFormatting>
  <conditionalFormatting sqref="T33:T37">
    <cfRule type="expression" dxfId="1741" priority="1691" stopIfTrue="1">
      <formula>$A33&lt;1</formula>
    </cfRule>
  </conditionalFormatting>
  <conditionalFormatting sqref="T27:T45">
    <cfRule type="expression" dxfId="1740" priority="1690" stopIfTrue="1">
      <formula>$A27&lt;1</formula>
    </cfRule>
  </conditionalFormatting>
  <conditionalFormatting sqref="T33:T37">
    <cfRule type="expression" dxfId="1739" priority="1689" stopIfTrue="1">
      <formula>$A33&lt;1</formula>
    </cfRule>
  </conditionalFormatting>
  <conditionalFormatting sqref="T27:T45">
    <cfRule type="expression" dxfId="1738" priority="1688" stopIfTrue="1">
      <formula>$A27&lt;1</formula>
    </cfRule>
  </conditionalFormatting>
  <conditionalFormatting sqref="T33:T37">
    <cfRule type="expression" dxfId="1737" priority="1687" stopIfTrue="1">
      <formula>$A33&lt;1</formula>
    </cfRule>
  </conditionalFormatting>
  <conditionalFormatting sqref="T27:T45">
    <cfRule type="expression" dxfId="1736" priority="1686" stopIfTrue="1">
      <formula>$A27&lt;1</formula>
    </cfRule>
  </conditionalFormatting>
  <conditionalFormatting sqref="T33:T37">
    <cfRule type="expression" dxfId="1735" priority="1685" stopIfTrue="1">
      <formula>$A33&lt;1</formula>
    </cfRule>
  </conditionalFormatting>
  <conditionalFormatting sqref="T27:T45">
    <cfRule type="expression" dxfId="1734" priority="1684" stopIfTrue="1">
      <formula>$A27&lt;1</formula>
    </cfRule>
  </conditionalFormatting>
  <conditionalFormatting sqref="T33:T37">
    <cfRule type="expression" dxfId="1733" priority="1683" stopIfTrue="1">
      <formula>$A33&lt;1</formula>
    </cfRule>
  </conditionalFormatting>
  <conditionalFormatting sqref="T27:T45">
    <cfRule type="expression" dxfId="1732" priority="1682" stopIfTrue="1">
      <formula>$A27&lt;1</formula>
    </cfRule>
  </conditionalFormatting>
  <conditionalFormatting sqref="T33:T37">
    <cfRule type="expression" dxfId="1731" priority="1681" stopIfTrue="1">
      <formula>$A33&lt;1</formula>
    </cfRule>
  </conditionalFormatting>
  <conditionalFormatting sqref="T27:T45">
    <cfRule type="expression" dxfId="1730" priority="1680" stopIfTrue="1">
      <formula>$A27&lt;1</formula>
    </cfRule>
  </conditionalFormatting>
  <conditionalFormatting sqref="T33:T37">
    <cfRule type="expression" dxfId="1729" priority="1679" stopIfTrue="1">
      <formula>$A33&lt;1</formula>
    </cfRule>
  </conditionalFormatting>
  <conditionalFormatting sqref="T27:T45">
    <cfRule type="expression" dxfId="1728" priority="1678" stopIfTrue="1">
      <formula>$A27&lt;1</formula>
    </cfRule>
  </conditionalFormatting>
  <conditionalFormatting sqref="T33:T37">
    <cfRule type="expression" dxfId="1727" priority="1677" stopIfTrue="1">
      <formula>$A33&lt;1</formula>
    </cfRule>
  </conditionalFormatting>
  <conditionalFormatting sqref="T27:T45">
    <cfRule type="expression" dxfId="1726" priority="1676" stopIfTrue="1">
      <formula>$A27&lt;1</formula>
    </cfRule>
  </conditionalFormatting>
  <conditionalFormatting sqref="T33:T37">
    <cfRule type="expression" dxfId="1725" priority="1675" stopIfTrue="1">
      <formula>$A33&lt;1</formula>
    </cfRule>
  </conditionalFormatting>
  <conditionalFormatting sqref="T27:T45">
    <cfRule type="expression" dxfId="1724" priority="1674" stopIfTrue="1">
      <formula>$A27&lt;1</formula>
    </cfRule>
  </conditionalFormatting>
  <conditionalFormatting sqref="T33:T37">
    <cfRule type="expression" dxfId="1723" priority="1673" stopIfTrue="1">
      <formula>$A33&lt;1</formula>
    </cfRule>
  </conditionalFormatting>
  <conditionalFormatting sqref="T27:T45">
    <cfRule type="expression" dxfId="1722" priority="1672" stopIfTrue="1">
      <formula>$A27&lt;1</formula>
    </cfRule>
  </conditionalFormatting>
  <conditionalFormatting sqref="T33:T37">
    <cfRule type="expression" dxfId="1721" priority="1671" stopIfTrue="1">
      <formula>$A33&lt;1</formula>
    </cfRule>
  </conditionalFormatting>
  <conditionalFormatting sqref="T27:T45">
    <cfRule type="expression" dxfId="1720" priority="1670" stopIfTrue="1">
      <formula>$A27&lt;1</formula>
    </cfRule>
  </conditionalFormatting>
  <conditionalFormatting sqref="T33:T37">
    <cfRule type="expression" dxfId="1719" priority="1669" stopIfTrue="1">
      <formula>$A33&lt;1</formula>
    </cfRule>
  </conditionalFormatting>
  <conditionalFormatting sqref="T27:T45">
    <cfRule type="expression" dxfId="1718" priority="1668" stopIfTrue="1">
      <formula>$A27&lt;1</formula>
    </cfRule>
  </conditionalFormatting>
  <conditionalFormatting sqref="T33:T37">
    <cfRule type="expression" dxfId="1717" priority="1667" stopIfTrue="1">
      <formula>$A33&lt;1</formula>
    </cfRule>
  </conditionalFormatting>
  <conditionalFormatting sqref="T27:T45">
    <cfRule type="expression" dxfId="1716" priority="1666" stopIfTrue="1">
      <formula>$A27&lt;1</formula>
    </cfRule>
  </conditionalFormatting>
  <conditionalFormatting sqref="T33:T37">
    <cfRule type="expression" dxfId="1715" priority="1665" stopIfTrue="1">
      <formula>$A33&lt;1</formula>
    </cfRule>
  </conditionalFormatting>
  <conditionalFormatting sqref="T27:T45">
    <cfRule type="expression" dxfId="1714" priority="1664" stopIfTrue="1">
      <formula>$A27&lt;1</formula>
    </cfRule>
  </conditionalFormatting>
  <conditionalFormatting sqref="T33:T37">
    <cfRule type="expression" dxfId="1713" priority="1663" stopIfTrue="1">
      <formula>$A33&lt;1</formula>
    </cfRule>
  </conditionalFormatting>
  <conditionalFormatting sqref="T27:T45">
    <cfRule type="expression" dxfId="1712" priority="1662" stopIfTrue="1">
      <formula>$A27&lt;1</formula>
    </cfRule>
  </conditionalFormatting>
  <conditionalFormatting sqref="T33:T37">
    <cfRule type="expression" dxfId="1711" priority="1661" stopIfTrue="1">
      <formula>$A33&lt;1</formula>
    </cfRule>
  </conditionalFormatting>
  <conditionalFormatting sqref="T27:T45">
    <cfRule type="expression" dxfId="1710" priority="1660" stopIfTrue="1">
      <formula>$A27&lt;1</formula>
    </cfRule>
  </conditionalFormatting>
  <conditionalFormatting sqref="T33:T37">
    <cfRule type="expression" dxfId="1709" priority="1659" stopIfTrue="1">
      <formula>$A33&lt;1</formula>
    </cfRule>
  </conditionalFormatting>
  <conditionalFormatting sqref="T27:T45">
    <cfRule type="expression" dxfId="1708" priority="1658" stopIfTrue="1">
      <formula>$A27&lt;1</formula>
    </cfRule>
  </conditionalFormatting>
  <conditionalFormatting sqref="T33:T37">
    <cfRule type="expression" dxfId="1707" priority="1657" stopIfTrue="1">
      <formula>$A33&lt;1</formula>
    </cfRule>
  </conditionalFormatting>
  <conditionalFormatting sqref="T27:T45">
    <cfRule type="expression" dxfId="1706" priority="1656" stopIfTrue="1">
      <formula>$A27&lt;1</formula>
    </cfRule>
  </conditionalFormatting>
  <conditionalFormatting sqref="T33:T37">
    <cfRule type="expression" dxfId="1705" priority="1655" stopIfTrue="1">
      <formula>$A33&lt;1</formula>
    </cfRule>
  </conditionalFormatting>
  <conditionalFormatting sqref="T27:T45">
    <cfRule type="expression" dxfId="1704" priority="1654" stopIfTrue="1">
      <formula>$A27&lt;1</formula>
    </cfRule>
  </conditionalFormatting>
  <conditionalFormatting sqref="T33:T37">
    <cfRule type="expression" dxfId="1703" priority="1653" stopIfTrue="1">
      <formula>$A33&lt;1</formula>
    </cfRule>
  </conditionalFormatting>
  <conditionalFormatting sqref="T27:T45">
    <cfRule type="expression" dxfId="1702" priority="1652" stopIfTrue="1">
      <formula>$A27&lt;1</formula>
    </cfRule>
  </conditionalFormatting>
  <conditionalFormatting sqref="T33:T37">
    <cfRule type="expression" dxfId="1701" priority="1651" stopIfTrue="1">
      <formula>$A33&lt;1</formula>
    </cfRule>
  </conditionalFormatting>
  <conditionalFormatting sqref="T27:T45">
    <cfRule type="expression" dxfId="1700" priority="1650" stopIfTrue="1">
      <formula>$A27&lt;1</formula>
    </cfRule>
  </conditionalFormatting>
  <conditionalFormatting sqref="T33:T37">
    <cfRule type="expression" dxfId="1699" priority="1649" stopIfTrue="1">
      <formula>$A33&lt;1</formula>
    </cfRule>
  </conditionalFormatting>
  <conditionalFormatting sqref="T27:T45">
    <cfRule type="expression" dxfId="1698" priority="1648" stopIfTrue="1">
      <formula>$A27&lt;1</formula>
    </cfRule>
  </conditionalFormatting>
  <conditionalFormatting sqref="T33:T37">
    <cfRule type="expression" dxfId="1697" priority="1647" stopIfTrue="1">
      <formula>$A33&lt;1</formula>
    </cfRule>
  </conditionalFormatting>
  <conditionalFormatting sqref="T27:T45">
    <cfRule type="expression" dxfId="1696" priority="1646" stopIfTrue="1">
      <formula>$A27&lt;1</formula>
    </cfRule>
  </conditionalFormatting>
  <conditionalFormatting sqref="T33:T37">
    <cfRule type="expression" dxfId="1695" priority="1645" stopIfTrue="1">
      <formula>$A33&lt;1</formula>
    </cfRule>
  </conditionalFormatting>
  <conditionalFormatting sqref="T27:T45">
    <cfRule type="expression" dxfId="1694" priority="1644" stopIfTrue="1">
      <formula>$A27&lt;1</formula>
    </cfRule>
  </conditionalFormatting>
  <conditionalFormatting sqref="T33:T37">
    <cfRule type="expression" dxfId="1693" priority="1643" stopIfTrue="1">
      <formula>$A33&lt;1</formula>
    </cfRule>
  </conditionalFormatting>
  <conditionalFormatting sqref="T27:T45">
    <cfRule type="expression" dxfId="1692" priority="1642" stopIfTrue="1">
      <formula>$A27&lt;1</formula>
    </cfRule>
  </conditionalFormatting>
  <conditionalFormatting sqref="T33:T37">
    <cfRule type="expression" dxfId="1691" priority="1641" stopIfTrue="1">
      <formula>$A33&lt;1</formula>
    </cfRule>
  </conditionalFormatting>
  <conditionalFormatting sqref="T27:T45">
    <cfRule type="expression" dxfId="1690" priority="1640" stopIfTrue="1">
      <formula>$A27&lt;1</formula>
    </cfRule>
  </conditionalFormatting>
  <conditionalFormatting sqref="T33:T37">
    <cfRule type="expression" dxfId="1689" priority="1639" stopIfTrue="1">
      <formula>$A33&lt;1</formula>
    </cfRule>
  </conditionalFormatting>
  <conditionalFormatting sqref="T27:T45">
    <cfRule type="expression" dxfId="1688" priority="1638" stopIfTrue="1">
      <formula>$A27&lt;1</formula>
    </cfRule>
  </conditionalFormatting>
  <conditionalFormatting sqref="T33:T37">
    <cfRule type="expression" dxfId="1687" priority="1637" stopIfTrue="1">
      <formula>$A33&lt;1</formula>
    </cfRule>
  </conditionalFormatting>
  <conditionalFormatting sqref="T27:T45">
    <cfRule type="expression" dxfId="1686" priority="1636" stopIfTrue="1">
      <formula>$A27&lt;1</formula>
    </cfRule>
  </conditionalFormatting>
  <conditionalFormatting sqref="T33:T37">
    <cfRule type="expression" dxfId="1685" priority="1635" stopIfTrue="1">
      <formula>$A33&lt;1</formula>
    </cfRule>
  </conditionalFormatting>
  <conditionalFormatting sqref="T27:T45">
    <cfRule type="expression" dxfId="1684" priority="1634" stopIfTrue="1">
      <formula>$A27&lt;1</formula>
    </cfRule>
  </conditionalFormatting>
  <conditionalFormatting sqref="T33:T37">
    <cfRule type="expression" dxfId="1683" priority="1633" stopIfTrue="1">
      <formula>$A33&lt;1</formula>
    </cfRule>
  </conditionalFormatting>
  <conditionalFormatting sqref="T27:T45">
    <cfRule type="expression" dxfId="1682" priority="1632" stopIfTrue="1">
      <formula>$A27&lt;1</formula>
    </cfRule>
  </conditionalFormatting>
  <conditionalFormatting sqref="T33:T37">
    <cfRule type="expression" dxfId="1681" priority="1631" stopIfTrue="1">
      <formula>$A33&lt;1</formula>
    </cfRule>
  </conditionalFormatting>
  <conditionalFormatting sqref="T27:T45">
    <cfRule type="expression" dxfId="1680" priority="1630" stopIfTrue="1">
      <formula>$A27&lt;1</formula>
    </cfRule>
  </conditionalFormatting>
  <conditionalFormatting sqref="T33:T37">
    <cfRule type="expression" dxfId="1679" priority="1629" stopIfTrue="1">
      <formula>$A33&lt;1</formula>
    </cfRule>
  </conditionalFormatting>
  <conditionalFormatting sqref="T27:T45">
    <cfRule type="expression" dxfId="1678" priority="1628" stopIfTrue="1">
      <formula>$A27&lt;1</formula>
    </cfRule>
  </conditionalFormatting>
  <conditionalFormatting sqref="T33:T37">
    <cfRule type="expression" dxfId="1677" priority="1627" stopIfTrue="1">
      <formula>$A33&lt;1</formula>
    </cfRule>
  </conditionalFormatting>
  <conditionalFormatting sqref="T27:T45">
    <cfRule type="expression" dxfId="1676" priority="1626" stopIfTrue="1">
      <formula>$A27&lt;1</formula>
    </cfRule>
  </conditionalFormatting>
  <conditionalFormatting sqref="T33:T37">
    <cfRule type="expression" dxfId="1675" priority="1625" stopIfTrue="1">
      <formula>$A33&lt;1</formula>
    </cfRule>
  </conditionalFormatting>
  <conditionalFormatting sqref="T27:T45">
    <cfRule type="expression" dxfId="1674" priority="1624" stopIfTrue="1">
      <formula>$A27&lt;1</formula>
    </cfRule>
  </conditionalFormatting>
  <conditionalFormatting sqref="T33:T37">
    <cfRule type="expression" dxfId="1673" priority="1623" stopIfTrue="1">
      <formula>$A33&lt;1</formula>
    </cfRule>
  </conditionalFormatting>
  <conditionalFormatting sqref="T27:T45">
    <cfRule type="expression" dxfId="1672" priority="1622" stopIfTrue="1">
      <formula>$A27&lt;1</formula>
    </cfRule>
  </conditionalFormatting>
  <conditionalFormatting sqref="T33:T37">
    <cfRule type="expression" dxfId="1671" priority="1621" stopIfTrue="1">
      <formula>$A33&lt;1</formula>
    </cfRule>
  </conditionalFormatting>
  <conditionalFormatting sqref="T27:T45">
    <cfRule type="expression" dxfId="1670" priority="1620" stopIfTrue="1">
      <formula>$A27&lt;1</formula>
    </cfRule>
  </conditionalFormatting>
  <conditionalFormatting sqref="T33:T37">
    <cfRule type="expression" dxfId="1669" priority="1619" stopIfTrue="1">
      <formula>$A33&lt;1</formula>
    </cfRule>
  </conditionalFormatting>
  <conditionalFormatting sqref="T27:T45">
    <cfRule type="expression" dxfId="1668" priority="1618" stopIfTrue="1">
      <formula>$A27&lt;1</formula>
    </cfRule>
  </conditionalFormatting>
  <conditionalFormatting sqref="T33:T37">
    <cfRule type="expression" dxfId="1667" priority="1617" stopIfTrue="1">
      <formula>$A33&lt;1</formula>
    </cfRule>
  </conditionalFormatting>
  <conditionalFormatting sqref="T27:T45">
    <cfRule type="expression" dxfId="1666" priority="1616" stopIfTrue="1">
      <formula>$A27&lt;1</formula>
    </cfRule>
  </conditionalFormatting>
  <conditionalFormatting sqref="T33:T37">
    <cfRule type="expression" dxfId="1665" priority="1615" stopIfTrue="1">
      <formula>$A33&lt;1</formula>
    </cfRule>
  </conditionalFormatting>
  <conditionalFormatting sqref="T27:T45">
    <cfRule type="expression" dxfId="1664" priority="1614" stopIfTrue="1">
      <formula>$A27&lt;1</formula>
    </cfRule>
  </conditionalFormatting>
  <conditionalFormatting sqref="T33:T37">
    <cfRule type="expression" dxfId="1663" priority="1613" stopIfTrue="1">
      <formula>$A33&lt;1</formula>
    </cfRule>
  </conditionalFormatting>
  <conditionalFormatting sqref="T27:T45">
    <cfRule type="expression" dxfId="1662" priority="1612" stopIfTrue="1">
      <formula>$A27&lt;1</formula>
    </cfRule>
  </conditionalFormatting>
  <conditionalFormatting sqref="T33:T37">
    <cfRule type="expression" dxfId="1661" priority="1611" stopIfTrue="1">
      <formula>$A33&lt;1</formula>
    </cfRule>
  </conditionalFormatting>
  <conditionalFormatting sqref="T27:T45">
    <cfRule type="expression" dxfId="1660" priority="1610" stopIfTrue="1">
      <formula>$A27&lt;1</formula>
    </cfRule>
  </conditionalFormatting>
  <conditionalFormatting sqref="T33:T37">
    <cfRule type="expression" dxfId="1659" priority="1609" stopIfTrue="1">
      <formula>$A33&lt;1</formula>
    </cfRule>
  </conditionalFormatting>
  <conditionalFormatting sqref="T27:T45">
    <cfRule type="expression" dxfId="1658" priority="1608" stopIfTrue="1">
      <formula>$A27&lt;1</formula>
    </cfRule>
  </conditionalFormatting>
  <conditionalFormatting sqref="T33:T37">
    <cfRule type="expression" dxfId="1657" priority="1607" stopIfTrue="1">
      <formula>$A33&lt;1</formula>
    </cfRule>
  </conditionalFormatting>
  <conditionalFormatting sqref="T27:T45">
    <cfRule type="expression" dxfId="1656" priority="1606" stopIfTrue="1">
      <formula>$A27&lt;1</formula>
    </cfRule>
  </conditionalFormatting>
  <conditionalFormatting sqref="T33:T37">
    <cfRule type="expression" dxfId="1655" priority="1605" stopIfTrue="1">
      <formula>$A33&lt;1</formula>
    </cfRule>
  </conditionalFormatting>
  <conditionalFormatting sqref="T27:T45">
    <cfRule type="expression" dxfId="1654" priority="1604" stopIfTrue="1">
      <formula>$A27&lt;1</formula>
    </cfRule>
  </conditionalFormatting>
  <conditionalFormatting sqref="T33:T37">
    <cfRule type="expression" dxfId="1653" priority="1603" stopIfTrue="1">
      <formula>$A33&lt;1</formula>
    </cfRule>
  </conditionalFormatting>
  <conditionalFormatting sqref="T27:T45">
    <cfRule type="expression" dxfId="1652" priority="1602" stopIfTrue="1">
      <formula>$A27&lt;1</formula>
    </cfRule>
  </conditionalFormatting>
  <conditionalFormatting sqref="T33:T37">
    <cfRule type="expression" dxfId="1651" priority="1601" stopIfTrue="1">
      <formula>$A33&lt;1</formula>
    </cfRule>
  </conditionalFormatting>
  <conditionalFormatting sqref="T27:T45">
    <cfRule type="expression" dxfId="1650" priority="1600" stopIfTrue="1">
      <formula>$A27&lt;1</formula>
    </cfRule>
  </conditionalFormatting>
  <conditionalFormatting sqref="T33:T37">
    <cfRule type="expression" dxfId="1649" priority="1599" stopIfTrue="1">
      <formula>$A33&lt;1</formula>
    </cfRule>
  </conditionalFormatting>
  <conditionalFormatting sqref="T27:T45">
    <cfRule type="expression" dxfId="1648" priority="1598" stopIfTrue="1">
      <formula>$A27&lt;1</formula>
    </cfRule>
  </conditionalFormatting>
  <conditionalFormatting sqref="T33:T37">
    <cfRule type="expression" dxfId="1647" priority="1597" stopIfTrue="1">
      <formula>$A33&lt;1</formula>
    </cfRule>
  </conditionalFormatting>
  <conditionalFormatting sqref="T27:T45">
    <cfRule type="expression" dxfId="1646" priority="1596" stopIfTrue="1">
      <formula>$A27&lt;1</formula>
    </cfRule>
  </conditionalFormatting>
  <conditionalFormatting sqref="T33:T37">
    <cfRule type="expression" dxfId="1645" priority="1595" stopIfTrue="1">
      <formula>$A33&lt;1</formula>
    </cfRule>
  </conditionalFormatting>
  <conditionalFormatting sqref="T27:T45">
    <cfRule type="expression" dxfId="1644" priority="1594" stopIfTrue="1">
      <formula>$A27&lt;1</formula>
    </cfRule>
  </conditionalFormatting>
  <conditionalFormatting sqref="T33:T37">
    <cfRule type="expression" dxfId="1643" priority="1593" stopIfTrue="1">
      <formula>$A33&lt;1</formula>
    </cfRule>
  </conditionalFormatting>
  <conditionalFormatting sqref="T27:T45">
    <cfRule type="expression" dxfId="1642" priority="1592" stopIfTrue="1">
      <formula>$A27&lt;1</formula>
    </cfRule>
  </conditionalFormatting>
  <conditionalFormatting sqref="T33:T37">
    <cfRule type="expression" dxfId="1641" priority="1591" stopIfTrue="1">
      <formula>$A33&lt;1</formula>
    </cfRule>
  </conditionalFormatting>
  <conditionalFormatting sqref="T27:T45">
    <cfRule type="expression" dxfId="1640" priority="1590" stopIfTrue="1">
      <formula>$A27&lt;1</formula>
    </cfRule>
  </conditionalFormatting>
  <conditionalFormatting sqref="T33:T37">
    <cfRule type="expression" dxfId="1639" priority="1589" stopIfTrue="1">
      <formula>$A33&lt;1</formula>
    </cfRule>
  </conditionalFormatting>
  <conditionalFormatting sqref="T27:T45">
    <cfRule type="expression" dxfId="1638" priority="1588" stopIfTrue="1">
      <formula>$A27&lt;1</formula>
    </cfRule>
  </conditionalFormatting>
  <conditionalFormatting sqref="T33:T37">
    <cfRule type="expression" dxfId="1637" priority="1587" stopIfTrue="1">
      <formula>$A33&lt;1</formula>
    </cfRule>
  </conditionalFormatting>
  <conditionalFormatting sqref="T27:T45">
    <cfRule type="expression" dxfId="1636" priority="1586" stopIfTrue="1">
      <formula>$A27&lt;1</formula>
    </cfRule>
  </conditionalFormatting>
  <conditionalFormatting sqref="T33:T37">
    <cfRule type="expression" dxfId="1635" priority="1585" stopIfTrue="1">
      <formula>$A33&lt;1</formula>
    </cfRule>
  </conditionalFormatting>
  <conditionalFormatting sqref="T27:T45">
    <cfRule type="expression" dxfId="1634" priority="1584" stopIfTrue="1">
      <formula>$A27&lt;1</formula>
    </cfRule>
  </conditionalFormatting>
  <conditionalFormatting sqref="T33:T37">
    <cfRule type="expression" dxfId="1633" priority="1583" stopIfTrue="1">
      <formula>$A33&lt;1</formula>
    </cfRule>
  </conditionalFormatting>
  <conditionalFormatting sqref="T27:T45">
    <cfRule type="expression" dxfId="1632" priority="1582" stopIfTrue="1">
      <formula>$A27&lt;1</formula>
    </cfRule>
  </conditionalFormatting>
  <conditionalFormatting sqref="T33:T37">
    <cfRule type="expression" dxfId="1631" priority="1581" stopIfTrue="1">
      <formula>$A33&lt;1</formula>
    </cfRule>
  </conditionalFormatting>
  <conditionalFormatting sqref="T27:T45">
    <cfRule type="expression" dxfId="1630" priority="1580" stopIfTrue="1">
      <formula>$A27&lt;1</formula>
    </cfRule>
  </conditionalFormatting>
  <conditionalFormatting sqref="T33:T37">
    <cfRule type="expression" dxfId="1629" priority="1579" stopIfTrue="1">
      <formula>$A33&lt;1</formula>
    </cfRule>
  </conditionalFormatting>
  <conditionalFormatting sqref="T27:T45">
    <cfRule type="expression" dxfId="1628" priority="1578" stopIfTrue="1">
      <formula>$A27&lt;1</formula>
    </cfRule>
  </conditionalFormatting>
  <conditionalFormatting sqref="T33:T37">
    <cfRule type="expression" dxfId="1627" priority="1577" stopIfTrue="1">
      <formula>$A33&lt;1</formula>
    </cfRule>
  </conditionalFormatting>
  <conditionalFormatting sqref="T27:T45">
    <cfRule type="expression" dxfId="1626" priority="1576" stopIfTrue="1">
      <formula>$A27&lt;1</formula>
    </cfRule>
  </conditionalFormatting>
  <conditionalFormatting sqref="T33:T37">
    <cfRule type="expression" dxfId="1625" priority="1575" stopIfTrue="1">
      <formula>$A33&lt;1</formula>
    </cfRule>
  </conditionalFormatting>
  <conditionalFormatting sqref="T27:T45">
    <cfRule type="expression" dxfId="1624" priority="1574" stopIfTrue="1">
      <formula>$A27&lt;1</formula>
    </cfRule>
  </conditionalFormatting>
  <conditionalFormatting sqref="T33:T37">
    <cfRule type="expression" dxfId="1623" priority="1573" stopIfTrue="1">
      <formula>$A33&lt;1</formula>
    </cfRule>
  </conditionalFormatting>
  <conditionalFormatting sqref="T27:T45">
    <cfRule type="expression" dxfId="1622" priority="1572" stopIfTrue="1">
      <formula>$A27&lt;1</formula>
    </cfRule>
  </conditionalFormatting>
  <conditionalFormatting sqref="T33:T37">
    <cfRule type="expression" dxfId="1621" priority="1571" stopIfTrue="1">
      <formula>$A33&lt;1</formula>
    </cfRule>
  </conditionalFormatting>
  <conditionalFormatting sqref="T27:T45">
    <cfRule type="expression" dxfId="1620" priority="1570" stopIfTrue="1">
      <formula>$A27&lt;1</formula>
    </cfRule>
  </conditionalFormatting>
  <conditionalFormatting sqref="T33:T37">
    <cfRule type="expression" dxfId="1619" priority="1569" stopIfTrue="1">
      <formula>$A33&lt;1</formula>
    </cfRule>
  </conditionalFormatting>
  <conditionalFormatting sqref="T27:T45">
    <cfRule type="expression" dxfId="1618" priority="1568" stopIfTrue="1">
      <formula>$A27&lt;1</formula>
    </cfRule>
  </conditionalFormatting>
  <conditionalFormatting sqref="T33:T37">
    <cfRule type="expression" dxfId="1617" priority="1567" stopIfTrue="1">
      <formula>$A33&lt;1</formula>
    </cfRule>
  </conditionalFormatting>
  <conditionalFormatting sqref="T27:T45">
    <cfRule type="expression" dxfId="1616" priority="1566" stopIfTrue="1">
      <formula>$A27&lt;1</formula>
    </cfRule>
  </conditionalFormatting>
  <conditionalFormatting sqref="T33:T37">
    <cfRule type="expression" dxfId="1615" priority="1565" stopIfTrue="1">
      <formula>$A33&lt;1</formula>
    </cfRule>
  </conditionalFormatting>
  <conditionalFormatting sqref="T27:T45">
    <cfRule type="expression" dxfId="1614" priority="1564" stopIfTrue="1">
      <formula>$A27&lt;1</formula>
    </cfRule>
  </conditionalFormatting>
  <conditionalFormatting sqref="T33:T37">
    <cfRule type="expression" dxfId="1613" priority="1563" stopIfTrue="1">
      <formula>$A33&lt;1</formula>
    </cfRule>
  </conditionalFormatting>
  <conditionalFormatting sqref="T27:T45">
    <cfRule type="expression" dxfId="1612" priority="1562" stopIfTrue="1">
      <formula>$A27&lt;1</formula>
    </cfRule>
  </conditionalFormatting>
  <conditionalFormatting sqref="T33:T37">
    <cfRule type="expression" dxfId="1611" priority="1561" stopIfTrue="1">
      <formula>$A33&lt;1</formula>
    </cfRule>
  </conditionalFormatting>
  <conditionalFormatting sqref="T27:T45">
    <cfRule type="expression" dxfId="1610" priority="1560" stopIfTrue="1">
      <formula>$A27&lt;1</formula>
    </cfRule>
  </conditionalFormatting>
  <conditionalFormatting sqref="T33:T37">
    <cfRule type="expression" dxfId="1609" priority="1559" stopIfTrue="1">
      <formula>$A33&lt;1</formula>
    </cfRule>
  </conditionalFormatting>
  <conditionalFormatting sqref="T27:T45">
    <cfRule type="expression" dxfId="1608" priority="1558" stopIfTrue="1">
      <formula>$A27&lt;1</formula>
    </cfRule>
  </conditionalFormatting>
  <conditionalFormatting sqref="T33:T37">
    <cfRule type="expression" dxfId="1607" priority="1557" stopIfTrue="1">
      <formula>$A33&lt;1</formula>
    </cfRule>
  </conditionalFormatting>
  <conditionalFormatting sqref="T27:T45">
    <cfRule type="expression" dxfId="1606" priority="1556" stopIfTrue="1">
      <formula>$A27&lt;1</formula>
    </cfRule>
  </conditionalFormatting>
  <conditionalFormatting sqref="T33:T37">
    <cfRule type="expression" dxfId="1605" priority="1555" stopIfTrue="1">
      <formula>$A33&lt;1</formula>
    </cfRule>
  </conditionalFormatting>
  <conditionalFormatting sqref="T27:T45">
    <cfRule type="expression" dxfId="1604" priority="1554" stopIfTrue="1">
      <formula>$A27&lt;1</formula>
    </cfRule>
  </conditionalFormatting>
  <conditionalFormatting sqref="T33:T37">
    <cfRule type="expression" dxfId="1603" priority="1553" stopIfTrue="1">
      <formula>$A33&lt;1</formula>
    </cfRule>
  </conditionalFormatting>
  <conditionalFormatting sqref="T27:T45">
    <cfRule type="expression" dxfId="1602" priority="1552" stopIfTrue="1">
      <formula>$A27&lt;1</formula>
    </cfRule>
  </conditionalFormatting>
  <conditionalFormatting sqref="T33:T37">
    <cfRule type="expression" dxfId="1601" priority="1551" stopIfTrue="1">
      <formula>$A33&lt;1</formula>
    </cfRule>
  </conditionalFormatting>
  <conditionalFormatting sqref="T27:T45">
    <cfRule type="expression" dxfId="1600" priority="1550" stopIfTrue="1">
      <formula>$A27&lt;1</formula>
    </cfRule>
  </conditionalFormatting>
  <conditionalFormatting sqref="T33:T37">
    <cfRule type="expression" dxfId="1599" priority="1549" stopIfTrue="1">
      <formula>$A33&lt;1</formula>
    </cfRule>
  </conditionalFormatting>
  <conditionalFormatting sqref="T27:T45">
    <cfRule type="expression" dxfId="1598" priority="1548" stopIfTrue="1">
      <formula>$A27&lt;1</formula>
    </cfRule>
  </conditionalFormatting>
  <conditionalFormatting sqref="T33:T37">
    <cfRule type="expression" dxfId="1597" priority="1547" stopIfTrue="1">
      <formula>$A33&lt;1</formula>
    </cfRule>
  </conditionalFormatting>
  <conditionalFormatting sqref="T27:T45">
    <cfRule type="expression" dxfId="1596" priority="1546" stopIfTrue="1">
      <formula>$A27&lt;1</formula>
    </cfRule>
  </conditionalFormatting>
  <conditionalFormatting sqref="T33:T37">
    <cfRule type="expression" dxfId="1595" priority="1545" stopIfTrue="1">
      <formula>$A33&lt;1</formula>
    </cfRule>
  </conditionalFormatting>
  <conditionalFormatting sqref="T27:T45">
    <cfRule type="expression" dxfId="1594" priority="1544" stopIfTrue="1">
      <formula>$A27&lt;1</formula>
    </cfRule>
  </conditionalFormatting>
  <conditionalFormatting sqref="T33:T37">
    <cfRule type="expression" dxfId="1593" priority="1543" stopIfTrue="1">
      <formula>$A33&lt;1</formula>
    </cfRule>
  </conditionalFormatting>
  <conditionalFormatting sqref="T27:T45">
    <cfRule type="expression" dxfId="1592" priority="1542" stopIfTrue="1">
      <formula>$A27&lt;1</formula>
    </cfRule>
  </conditionalFormatting>
  <conditionalFormatting sqref="T33:T37">
    <cfRule type="expression" dxfId="1591" priority="1541" stopIfTrue="1">
      <formula>$A33&lt;1</formula>
    </cfRule>
  </conditionalFormatting>
  <conditionalFormatting sqref="T27:T45">
    <cfRule type="expression" dxfId="1590" priority="1540" stopIfTrue="1">
      <formula>$A27&lt;1</formula>
    </cfRule>
  </conditionalFormatting>
  <conditionalFormatting sqref="T33:T37">
    <cfRule type="expression" dxfId="1589" priority="1539" stopIfTrue="1">
      <formula>$A33&lt;1</formula>
    </cfRule>
  </conditionalFormatting>
  <conditionalFormatting sqref="T27:T45">
    <cfRule type="expression" dxfId="1588" priority="1538" stopIfTrue="1">
      <formula>$A27&lt;1</formula>
    </cfRule>
  </conditionalFormatting>
  <conditionalFormatting sqref="T33:T37">
    <cfRule type="expression" dxfId="1587" priority="1537" stopIfTrue="1">
      <formula>$A33&lt;1</formula>
    </cfRule>
  </conditionalFormatting>
  <conditionalFormatting sqref="T27:T45">
    <cfRule type="expression" dxfId="1586" priority="1536" stopIfTrue="1">
      <formula>$A27&lt;1</formula>
    </cfRule>
  </conditionalFormatting>
  <conditionalFormatting sqref="T33:T37">
    <cfRule type="expression" dxfId="1585" priority="1535" stopIfTrue="1">
      <formula>$A33&lt;1</formula>
    </cfRule>
  </conditionalFormatting>
  <conditionalFormatting sqref="T27:T45">
    <cfRule type="expression" dxfId="1584" priority="1534" stopIfTrue="1">
      <formula>$A27&lt;1</formula>
    </cfRule>
  </conditionalFormatting>
  <conditionalFormatting sqref="T33:T37">
    <cfRule type="expression" dxfId="1583" priority="1533" stopIfTrue="1">
      <formula>$A33&lt;1</formula>
    </cfRule>
  </conditionalFormatting>
  <conditionalFormatting sqref="T27:T45">
    <cfRule type="expression" dxfId="1582" priority="1532" stopIfTrue="1">
      <formula>$A27&lt;1</formula>
    </cfRule>
  </conditionalFormatting>
  <conditionalFormatting sqref="T33:T37">
    <cfRule type="expression" dxfId="1581" priority="1531" stopIfTrue="1">
      <formula>$A33&lt;1</formula>
    </cfRule>
  </conditionalFormatting>
  <conditionalFormatting sqref="T27:T45">
    <cfRule type="expression" dxfId="1580" priority="1530" stopIfTrue="1">
      <formula>$A27&lt;1</formula>
    </cfRule>
  </conditionalFormatting>
  <conditionalFormatting sqref="T33:T37">
    <cfRule type="expression" dxfId="1579" priority="1529" stopIfTrue="1">
      <formula>$A33&lt;1</formula>
    </cfRule>
  </conditionalFormatting>
  <conditionalFormatting sqref="T27:T45">
    <cfRule type="expression" dxfId="1578" priority="1528" stopIfTrue="1">
      <formula>$A27&lt;1</formula>
    </cfRule>
  </conditionalFormatting>
  <conditionalFormatting sqref="T33:T37">
    <cfRule type="expression" dxfId="1577" priority="1527" stopIfTrue="1">
      <formula>$A33&lt;1</formula>
    </cfRule>
  </conditionalFormatting>
  <conditionalFormatting sqref="T27:T45">
    <cfRule type="expression" dxfId="1576" priority="1526" stopIfTrue="1">
      <formula>$A27&lt;1</formula>
    </cfRule>
  </conditionalFormatting>
  <conditionalFormatting sqref="T33:T37">
    <cfRule type="expression" dxfId="1575" priority="1525" stopIfTrue="1">
      <formula>$A33&lt;1</formula>
    </cfRule>
  </conditionalFormatting>
  <conditionalFormatting sqref="T27:T45">
    <cfRule type="expression" dxfId="1574" priority="1524" stopIfTrue="1">
      <formula>$A27&lt;1</formula>
    </cfRule>
  </conditionalFormatting>
  <conditionalFormatting sqref="T33:T37">
    <cfRule type="expression" dxfId="1573" priority="1523" stopIfTrue="1">
      <formula>$A33&lt;1</formula>
    </cfRule>
  </conditionalFormatting>
  <conditionalFormatting sqref="T27:T45">
    <cfRule type="expression" dxfId="1572" priority="1522" stopIfTrue="1">
      <formula>$A27&lt;1</formula>
    </cfRule>
  </conditionalFormatting>
  <conditionalFormatting sqref="T33:T37">
    <cfRule type="expression" dxfId="1571" priority="1521" stopIfTrue="1">
      <formula>$A33&lt;1</formula>
    </cfRule>
  </conditionalFormatting>
  <conditionalFormatting sqref="T27:T45">
    <cfRule type="expression" dxfId="1570" priority="1520" stopIfTrue="1">
      <formula>$A27&lt;1</formula>
    </cfRule>
  </conditionalFormatting>
  <conditionalFormatting sqref="T33:T37">
    <cfRule type="expression" dxfId="1569" priority="1519" stopIfTrue="1">
      <formula>$A33&lt;1</formula>
    </cfRule>
  </conditionalFormatting>
  <conditionalFormatting sqref="T27:T45">
    <cfRule type="expression" dxfId="1568" priority="1518" stopIfTrue="1">
      <formula>$A27&lt;1</formula>
    </cfRule>
  </conditionalFormatting>
  <conditionalFormatting sqref="T33:T37">
    <cfRule type="expression" dxfId="1567" priority="1517" stopIfTrue="1">
      <formula>$A33&lt;1</formula>
    </cfRule>
  </conditionalFormatting>
  <conditionalFormatting sqref="T27:T45">
    <cfRule type="expression" dxfId="1566" priority="1516" stopIfTrue="1">
      <formula>$A27&lt;1</formula>
    </cfRule>
  </conditionalFormatting>
  <conditionalFormatting sqref="T33:T37">
    <cfRule type="expression" dxfId="1565" priority="1515" stopIfTrue="1">
      <formula>$A33&lt;1</formula>
    </cfRule>
  </conditionalFormatting>
  <conditionalFormatting sqref="T27:T45">
    <cfRule type="expression" dxfId="1564" priority="1514" stopIfTrue="1">
      <formula>$A27&lt;1</formula>
    </cfRule>
  </conditionalFormatting>
  <conditionalFormatting sqref="T33:T37">
    <cfRule type="expression" dxfId="1563" priority="1513" stopIfTrue="1">
      <formula>$A33&lt;1</formula>
    </cfRule>
  </conditionalFormatting>
  <conditionalFormatting sqref="T27:T45">
    <cfRule type="expression" dxfId="1562" priority="1512" stopIfTrue="1">
      <formula>$A27&lt;1</formula>
    </cfRule>
  </conditionalFormatting>
  <conditionalFormatting sqref="T33:T37">
    <cfRule type="expression" dxfId="1561" priority="1511" stopIfTrue="1">
      <formula>$A33&lt;1</formula>
    </cfRule>
  </conditionalFormatting>
  <conditionalFormatting sqref="T27:T45">
    <cfRule type="expression" dxfId="1560" priority="1510" stopIfTrue="1">
      <formula>$A27&lt;1</formula>
    </cfRule>
  </conditionalFormatting>
  <conditionalFormatting sqref="T33:T37">
    <cfRule type="expression" dxfId="1559" priority="1509" stopIfTrue="1">
      <formula>$A33&lt;1</formula>
    </cfRule>
  </conditionalFormatting>
  <conditionalFormatting sqref="T27:T45">
    <cfRule type="expression" dxfId="1558" priority="1508" stopIfTrue="1">
      <formula>$A27&lt;1</formula>
    </cfRule>
  </conditionalFormatting>
  <conditionalFormatting sqref="T33:T37">
    <cfRule type="expression" dxfId="1557" priority="1507" stopIfTrue="1">
      <formula>$A33&lt;1</formula>
    </cfRule>
  </conditionalFormatting>
  <conditionalFormatting sqref="T27:T45">
    <cfRule type="expression" dxfId="1556" priority="1506" stopIfTrue="1">
      <formula>$A27&lt;1</formula>
    </cfRule>
  </conditionalFormatting>
  <conditionalFormatting sqref="T33:T37">
    <cfRule type="expression" dxfId="1555" priority="1505" stopIfTrue="1">
      <formula>$A33&lt;1</formula>
    </cfRule>
  </conditionalFormatting>
  <conditionalFormatting sqref="T27:T45">
    <cfRule type="expression" dxfId="1554" priority="1504" stopIfTrue="1">
      <formula>$A27&lt;1</formula>
    </cfRule>
  </conditionalFormatting>
  <conditionalFormatting sqref="T33:T37">
    <cfRule type="expression" dxfId="1553" priority="1503" stopIfTrue="1">
      <formula>$A33&lt;1</formula>
    </cfRule>
  </conditionalFormatting>
  <conditionalFormatting sqref="T27:T45">
    <cfRule type="expression" dxfId="1552" priority="1502" stopIfTrue="1">
      <formula>$A27&lt;1</formula>
    </cfRule>
  </conditionalFormatting>
  <conditionalFormatting sqref="T33:T37">
    <cfRule type="expression" dxfId="1551" priority="1501" stopIfTrue="1">
      <formula>$A33&lt;1</formula>
    </cfRule>
  </conditionalFormatting>
  <conditionalFormatting sqref="T27:T45">
    <cfRule type="expression" dxfId="1550" priority="1500" stopIfTrue="1">
      <formula>$A27&lt;1</formula>
    </cfRule>
  </conditionalFormatting>
  <conditionalFormatting sqref="T33:T37">
    <cfRule type="expression" dxfId="1549" priority="1499" stopIfTrue="1">
      <formula>$A33&lt;1</formula>
    </cfRule>
  </conditionalFormatting>
  <conditionalFormatting sqref="T27:T45">
    <cfRule type="expression" dxfId="1548" priority="1498" stopIfTrue="1">
      <formula>$A27&lt;1</formula>
    </cfRule>
  </conditionalFormatting>
  <conditionalFormatting sqref="T33:T37">
    <cfRule type="expression" dxfId="1547" priority="1497" stopIfTrue="1">
      <formula>$A33&lt;1</formula>
    </cfRule>
  </conditionalFormatting>
  <conditionalFormatting sqref="T27:T45">
    <cfRule type="expression" dxfId="1546" priority="1496" stopIfTrue="1">
      <formula>$A27&lt;1</formula>
    </cfRule>
  </conditionalFormatting>
  <conditionalFormatting sqref="T33:T37">
    <cfRule type="expression" dxfId="1545" priority="1495" stopIfTrue="1">
      <formula>$A33&lt;1</formula>
    </cfRule>
  </conditionalFormatting>
  <conditionalFormatting sqref="T27:T45">
    <cfRule type="expression" dxfId="1544" priority="1494" stopIfTrue="1">
      <formula>$A27&lt;1</formula>
    </cfRule>
  </conditionalFormatting>
  <conditionalFormatting sqref="T33:T37">
    <cfRule type="expression" dxfId="1543" priority="1493" stopIfTrue="1">
      <formula>$A33&lt;1</formula>
    </cfRule>
  </conditionalFormatting>
  <conditionalFormatting sqref="T27:T45">
    <cfRule type="expression" dxfId="1542" priority="1492" stopIfTrue="1">
      <formula>$A27&lt;1</formula>
    </cfRule>
  </conditionalFormatting>
  <conditionalFormatting sqref="T33:T37">
    <cfRule type="expression" dxfId="1541" priority="1491" stopIfTrue="1">
      <formula>$A33&lt;1</formula>
    </cfRule>
  </conditionalFormatting>
  <conditionalFormatting sqref="T27:T45">
    <cfRule type="expression" dxfId="1540" priority="1490" stopIfTrue="1">
      <formula>$A27&lt;1</formula>
    </cfRule>
  </conditionalFormatting>
  <conditionalFormatting sqref="T33:T37">
    <cfRule type="expression" dxfId="1539" priority="1489" stopIfTrue="1">
      <formula>$A33&lt;1</formula>
    </cfRule>
  </conditionalFormatting>
  <conditionalFormatting sqref="T27:T45">
    <cfRule type="expression" dxfId="1538" priority="1488" stopIfTrue="1">
      <formula>$A27&lt;1</formula>
    </cfRule>
  </conditionalFormatting>
  <conditionalFormatting sqref="T33:T37">
    <cfRule type="expression" dxfId="1537" priority="1487" stopIfTrue="1">
      <formula>$A33&lt;1</formula>
    </cfRule>
  </conditionalFormatting>
  <conditionalFormatting sqref="T27:T45">
    <cfRule type="expression" dxfId="1536" priority="1486" stopIfTrue="1">
      <formula>$A27&lt;1</formula>
    </cfRule>
  </conditionalFormatting>
  <conditionalFormatting sqref="T33:T37">
    <cfRule type="expression" dxfId="1535" priority="1485" stopIfTrue="1">
      <formula>$A33&lt;1</formula>
    </cfRule>
  </conditionalFormatting>
  <conditionalFormatting sqref="T27:T45">
    <cfRule type="expression" dxfId="1534" priority="1484" stopIfTrue="1">
      <formula>$A27&lt;1</formula>
    </cfRule>
  </conditionalFormatting>
  <conditionalFormatting sqref="T33:T37">
    <cfRule type="expression" dxfId="1533" priority="1483" stopIfTrue="1">
      <formula>$A33&lt;1</formula>
    </cfRule>
  </conditionalFormatting>
  <conditionalFormatting sqref="T27:T45">
    <cfRule type="expression" dxfId="1532" priority="1482" stopIfTrue="1">
      <formula>$A27&lt;1</formula>
    </cfRule>
  </conditionalFormatting>
  <conditionalFormatting sqref="T33:T37">
    <cfRule type="expression" dxfId="1531" priority="1481" stopIfTrue="1">
      <formula>$A33&lt;1</formula>
    </cfRule>
  </conditionalFormatting>
  <conditionalFormatting sqref="T27:T45">
    <cfRule type="expression" dxfId="1530" priority="1480" stopIfTrue="1">
      <formula>$A27&lt;1</formula>
    </cfRule>
  </conditionalFormatting>
  <conditionalFormatting sqref="T33:T37">
    <cfRule type="expression" dxfId="1529" priority="1479" stopIfTrue="1">
      <formula>$A33&lt;1</formula>
    </cfRule>
  </conditionalFormatting>
  <conditionalFormatting sqref="T27:T45">
    <cfRule type="expression" dxfId="1528" priority="1478" stopIfTrue="1">
      <formula>$A27&lt;1</formula>
    </cfRule>
  </conditionalFormatting>
  <conditionalFormatting sqref="T33:T37">
    <cfRule type="expression" dxfId="1527" priority="1477" stopIfTrue="1">
      <formula>$A33&lt;1</formula>
    </cfRule>
  </conditionalFormatting>
  <conditionalFormatting sqref="T27:T45">
    <cfRule type="expression" dxfId="1526" priority="1476" stopIfTrue="1">
      <formula>$A27&lt;1</formula>
    </cfRule>
  </conditionalFormatting>
  <conditionalFormatting sqref="T33:T37">
    <cfRule type="expression" dxfId="1525" priority="1475" stopIfTrue="1">
      <formula>$A33&lt;1</formula>
    </cfRule>
  </conditionalFormatting>
  <conditionalFormatting sqref="T27:T45">
    <cfRule type="expression" dxfId="1524" priority="1474" stopIfTrue="1">
      <formula>$A27&lt;1</formula>
    </cfRule>
  </conditionalFormatting>
  <conditionalFormatting sqref="T33:T37">
    <cfRule type="expression" dxfId="1523" priority="1473" stopIfTrue="1">
      <formula>$A33&lt;1</formula>
    </cfRule>
  </conditionalFormatting>
  <conditionalFormatting sqref="T27:T45">
    <cfRule type="expression" dxfId="1522" priority="1472" stopIfTrue="1">
      <formula>$A27&lt;1</formula>
    </cfRule>
  </conditionalFormatting>
  <conditionalFormatting sqref="T33:T37">
    <cfRule type="expression" dxfId="1521" priority="1471" stopIfTrue="1">
      <formula>$A33&lt;1</formula>
    </cfRule>
  </conditionalFormatting>
  <conditionalFormatting sqref="T27:T45">
    <cfRule type="expression" dxfId="1520" priority="1470" stopIfTrue="1">
      <formula>$A27&lt;1</formula>
    </cfRule>
  </conditionalFormatting>
  <conditionalFormatting sqref="T33:T37">
    <cfRule type="expression" dxfId="1519" priority="1469" stopIfTrue="1">
      <formula>$A33&lt;1</formula>
    </cfRule>
  </conditionalFormatting>
  <conditionalFormatting sqref="T27:T45">
    <cfRule type="expression" dxfId="1518" priority="1468" stopIfTrue="1">
      <formula>$A27&lt;1</formula>
    </cfRule>
  </conditionalFormatting>
  <conditionalFormatting sqref="T33:T37">
    <cfRule type="expression" dxfId="1517" priority="1467" stopIfTrue="1">
      <formula>$A33&lt;1</formula>
    </cfRule>
  </conditionalFormatting>
  <conditionalFormatting sqref="T27:T45">
    <cfRule type="expression" dxfId="1516" priority="1466" stopIfTrue="1">
      <formula>$A27&lt;1</formula>
    </cfRule>
  </conditionalFormatting>
  <conditionalFormatting sqref="T33:T37">
    <cfRule type="expression" dxfId="1515" priority="1465" stopIfTrue="1">
      <formula>$A33&lt;1</formula>
    </cfRule>
  </conditionalFormatting>
  <conditionalFormatting sqref="T27:T45">
    <cfRule type="expression" dxfId="1514" priority="1464" stopIfTrue="1">
      <formula>$A27&lt;1</formula>
    </cfRule>
  </conditionalFormatting>
  <conditionalFormatting sqref="T33:T37">
    <cfRule type="expression" dxfId="1513" priority="1463" stopIfTrue="1">
      <formula>$A33&lt;1</formula>
    </cfRule>
  </conditionalFormatting>
  <conditionalFormatting sqref="T27:T45">
    <cfRule type="expression" dxfId="1512" priority="1462" stopIfTrue="1">
      <formula>$A27&lt;1</formula>
    </cfRule>
  </conditionalFormatting>
  <conditionalFormatting sqref="T33:T37">
    <cfRule type="expression" dxfId="1511" priority="1461" stopIfTrue="1">
      <formula>$A33&lt;1</formula>
    </cfRule>
  </conditionalFormatting>
  <conditionalFormatting sqref="T27:T45">
    <cfRule type="expression" dxfId="1510" priority="1460" stopIfTrue="1">
      <formula>$A27&lt;1</formula>
    </cfRule>
  </conditionalFormatting>
  <conditionalFormatting sqref="T33:T37">
    <cfRule type="expression" dxfId="1509" priority="1459" stopIfTrue="1">
      <formula>$A33&lt;1</formula>
    </cfRule>
  </conditionalFormatting>
  <conditionalFormatting sqref="T27:T45">
    <cfRule type="expression" dxfId="1508" priority="1458" stopIfTrue="1">
      <formula>$A27&lt;1</formula>
    </cfRule>
  </conditionalFormatting>
  <conditionalFormatting sqref="T33:T37">
    <cfRule type="expression" dxfId="1507" priority="1457" stopIfTrue="1">
      <formula>$A33&lt;1</formula>
    </cfRule>
  </conditionalFormatting>
  <conditionalFormatting sqref="T27:T45">
    <cfRule type="expression" dxfId="1506" priority="1456" stopIfTrue="1">
      <formula>$A27&lt;1</formula>
    </cfRule>
  </conditionalFormatting>
  <conditionalFormatting sqref="T33:T37">
    <cfRule type="expression" dxfId="1505" priority="1455" stopIfTrue="1">
      <formula>$A33&lt;1</formula>
    </cfRule>
  </conditionalFormatting>
  <conditionalFormatting sqref="T27:T45">
    <cfRule type="expression" dxfId="1504" priority="1454" stopIfTrue="1">
      <formula>$A27&lt;1</formula>
    </cfRule>
  </conditionalFormatting>
  <conditionalFormatting sqref="T33:T37">
    <cfRule type="expression" dxfId="1503" priority="1453" stopIfTrue="1">
      <formula>$A33&lt;1</formula>
    </cfRule>
  </conditionalFormatting>
  <conditionalFormatting sqref="T27:T45">
    <cfRule type="expression" dxfId="1502" priority="1452" stopIfTrue="1">
      <formula>$A27&lt;1</formula>
    </cfRule>
  </conditionalFormatting>
  <conditionalFormatting sqref="T33:T37">
    <cfRule type="expression" dxfId="1501" priority="1451" stopIfTrue="1">
      <formula>$A33&lt;1</formula>
    </cfRule>
  </conditionalFormatting>
  <conditionalFormatting sqref="T27:T45">
    <cfRule type="expression" dxfId="1500" priority="1450" stopIfTrue="1">
      <formula>$A27&lt;1</formula>
    </cfRule>
  </conditionalFormatting>
  <conditionalFormatting sqref="T33:T37">
    <cfRule type="expression" dxfId="1499" priority="1449" stopIfTrue="1">
      <formula>$A33&lt;1</formula>
    </cfRule>
  </conditionalFormatting>
  <conditionalFormatting sqref="T27:T45">
    <cfRule type="expression" dxfId="1498" priority="1448" stopIfTrue="1">
      <formula>$A27&lt;1</formula>
    </cfRule>
  </conditionalFormatting>
  <conditionalFormatting sqref="T33:T37">
    <cfRule type="expression" dxfId="1497" priority="1447" stopIfTrue="1">
      <formula>$A33&lt;1</formula>
    </cfRule>
  </conditionalFormatting>
  <conditionalFormatting sqref="T27:T45">
    <cfRule type="expression" dxfId="1496" priority="1446" stopIfTrue="1">
      <formula>$A27&lt;1</formula>
    </cfRule>
  </conditionalFormatting>
  <conditionalFormatting sqref="T33:T37">
    <cfRule type="expression" dxfId="1495" priority="1445" stopIfTrue="1">
      <formula>$A33&lt;1</formula>
    </cfRule>
  </conditionalFormatting>
  <conditionalFormatting sqref="T27:T45">
    <cfRule type="expression" dxfId="1494" priority="1444" stopIfTrue="1">
      <formula>$A27&lt;1</formula>
    </cfRule>
  </conditionalFormatting>
  <conditionalFormatting sqref="T33:T37">
    <cfRule type="expression" dxfId="1493" priority="1443" stopIfTrue="1">
      <formula>$A33&lt;1</formula>
    </cfRule>
  </conditionalFormatting>
  <conditionalFormatting sqref="T27:T45">
    <cfRule type="expression" dxfId="1492" priority="1442" stopIfTrue="1">
      <formula>$A27&lt;1</formula>
    </cfRule>
  </conditionalFormatting>
  <conditionalFormatting sqref="T33:T37">
    <cfRule type="expression" dxfId="1491" priority="1441" stopIfTrue="1">
      <formula>$A33&lt;1</formula>
    </cfRule>
  </conditionalFormatting>
  <conditionalFormatting sqref="T27:T45">
    <cfRule type="expression" dxfId="1490" priority="1440" stopIfTrue="1">
      <formula>$A27&lt;1</formula>
    </cfRule>
  </conditionalFormatting>
  <conditionalFormatting sqref="T33:T37">
    <cfRule type="expression" dxfId="1489" priority="1439" stopIfTrue="1">
      <formula>$A33&lt;1</formula>
    </cfRule>
  </conditionalFormatting>
  <conditionalFormatting sqref="T27:T45">
    <cfRule type="expression" dxfId="1488" priority="1438" stopIfTrue="1">
      <formula>$A27&lt;1</formula>
    </cfRule>
  </conditionalFormatting>
  <conditionalFormatting sqref="T33:T37">
    <cfRule type="expression" dxfId="1487" priority="1437" stopIfTrue="1">
      <formula>$A33&lt;1</formula>
    </cfRule>
  </conditionalFormatting>
  <conditionalFormatting sqref="T27:T45">
    <cfRule type="expression" dxfId="1486" priority="1436" stopIfTrue="1">
      <formula>$A27&lt;1</formula>
    </cfRule>
  </conditionalFormatting>
  <conditionalFormatting sqref="T33:T37">
    <cfRule type="expression" dxfId="1485" priority="1435" stopIfTrue="1">
      <formula>$A33&lt;1</formula>
    </cfRule>
  </conditionalFormatting>
  <conditionalFormatting sqref="T27:T45">
    <cfRule type="expression" dxfId="1484" priority="1434" stopIfTrue="1">
      <formula>$A27&lt;1</formula>
    </cfRule>
  </conditionalFormatting>
  <conditionalFormatting sqref="T33:T37">
    <cfRule type="expression" dxfId="1483" priority="1433" stopIfTrue="1">
      <formula>$A33&lt;1</formula>
    </cfRule>
  </conditionalFormatting>
  <conditionalFormatting sqref="T27:T45">
    <cfRule type="expression" dxfId="1482" priority="1432" stopIfTrue="1">
      <formula>$A27&lt;1</formula>
    </cfRule>
  </conditionalFormatting>
  <conditionalFormatting sqref="T33:T37">
    <cfRule type="expression" dxfId="1481" priority="1431" stopIfTrue="1">
      <formula>$A33&lt;1</formula>
    </cfRule>
  </conditionalFormatting>
  <conditionalFormatting sqref="T27:T45">
    <cfRule type="expression" dxfId="1480" priority="1430" stopIfTrue="1">
      <formula>$A27&lt;1</formula>
    </cfRule>
  </conditionalFormatting>
  <conditionalFormatting sqref="T33:T37">
    <cfRule type="expression" dxfId="1479" priority="1429" stopIfTrue="1">
      <formula>$A33&lt;1</formula>
    </cfRule>
  </conditionalFormatting>
  <conditionalFormatting sqref="T27:T45">
    <cfRule type="expression" dxfId="1478" priority="1428" stopIfTrue="1">
      <formula>$A27&lt;1</formula>
    </cfRule>
  </conditionalFormatting>
  <conditionalFormatting sqref="T33:T37">
    <cfRule type="expression" dxfId="1477" priority="1427" stopIfTrue="1">
      <formula>$A33&lt;1</formula>
    </cfRule>
  </conditionalFormatting>
  <conditionalFormatting sqref="T27:T45">
    <cfRule type="expression" dxfId="1476" priority="1426" stopIfTrue="1">
      <formula>$A27&lt;1</formula>
    </cfRule>
  </conditionalFormatting>
  <conditionalFormatting sqref="T33:T37">
    <cfRule type="expression" dxfId="1475" priority="1425" stopIfTrue="1">
      <formula>$A33&lt;1</formula>
    </cfRule>
  </conditionalFormatting>
  <conditionalFormatting sqref="T27:T45">
    <cfRule type="expression" dxfId="1474" priority="1424" stopIfTrue="1">
      <formula>$A27&lt;1</formula>
    </cfRule>
  </conditionalFormatting>
  <conditionalFormatting sqref="T33:T37">
    <cfRule type="expression" dxfId="1473" priority="1423" stopIfTrue="1">
      <formula>$A33&lt;1</formula>
    </cfRule>
  </conditionalFormatting>
  <conditionalFormatting sqref="T27:T45">
    <cfRule type="expression" dxfId="1472" priority="1422" stopIfTrue="1">
      <formula>$A27&lt;1</formula>
    </cfRule>
  </conditionalFormatting>
  <conditionalFormatting sqref="T33:T37">
    <cfRule type="expression" dxfId="1471" priority="1421" stopIfTrue="1">
      <formula>$A33&lt;1</formula>
    </cfRule>
  </conditionalFormatting>
  <conditionalFormatting sqref="T27:T45">
    <cfRule type="expression" dxfId="1470" priority="1420" stopIfTrue="1">
      <formula>$A27&lt;1</formula>
    </cfRule>
  </conditionalFormatting>
  <conditionalFormatting sqref="T33:T37">
    <cfRule type="expression" dxfId="1469" priority="1419" stopIfTrue="1">
      <formula>$A33&lt;1</formula>
    </cfRule>
  </conditionalFormatting>
  <conditionalFormatting sqref="T27:T45">
    <cfRule type="expression" dxfId="1468" priority="1418" stopIfTrue="1">
      <formula>$A27&lt;1</formula>
    </cfRule>
  </conditionalFormatting>
  <conditionalFormatting sqref="T33:T37">
    <cfRule type="expression" dxfId="1467" priority="1417" stopIfTrue="1">
      <formula>$A33&lt;1</formula>
    </cfRule>
  </conditionalFormatting>
  <conditionalFormatting sqref="T27:T45">
    <cfRule type="expression" dxfId="1466" priority="1416" stopIfTrue="1">
      <formula>$A27&lt;1</formula>
    </cfRule>
  </conditionalFormatting>
  <conditionalFormatting sqref="T33:T37">
    <cfRule type="expression" dxfId="1465" priority="1415" stopIfTrue="1">
      <formula>$A33&lt;1</formula>
    </cfRule>
  </conditionalFormatting>
  <conditionalFormatting sqref="T27:T45">
    <cfRule type="expression" dxfId="1464" priority="1414" stopIfTrue="1">
      <formula>$A27&lt;1</formula>
    </cfRule>
  </conditionalFormatting>
  <conditionalFormatting sqref="T33:T37">
    <cfRule type="expression" dxfId="1463" priority="1413" stopIfTrue="1">
      <formula>$A33&lt;1</formula>
    </cfRule>
  </conditionalFormatting>
  <conditionalFormatting sqref="T27:T45">
    <cfRule type="expression" dxfId="1462" priority="1412" stopIfTrue="1">
      <formula>$A27&lt;1</formula>
    </cfRule>
  </conditionalFormatting>
  <conditionalFormatting sqref="T33:T37">
    <cfRule type="expression" dxfId="1461" priority="1411" stopIfTrue="1">
      <formula>$A33&lt;1</formula>
    </cfRule>
  </conditionalFormatting>
  <conditionalFormatting sqref="T27:T45">
    <cfRule type="expression" dxfId="1460" priority="1410" stopIfTrue="1">
      <formula>$A27&lt;1</formula>
    </cfRule>
  </conditionalFormatting>
  <conditionalFormatting sqref="T33:T37">
    <cfRule type="expression" dxfId="1459" priority="1409" stopIfTrue="1">
      <formula>$A33&lt;1</formula>
    </cfRule>
  </conditionalFormatting>
  <conditionalFormatting sqref="T27:T45">
    <cfRule type="expression" dxfId="1458" priority="1408" stopIfTrue="1">
      <formula>$A27&lt;1</formula>
    </cfRule>
  </conditionalFormatting>
  <conditionalFormatting sqref="T33:T37">
    <cfRule type="expression" dxfId="1457" priority="1407" stopIfTrue="1">
      <formula>$A33&lt;1</formula>
    </cfRule>
  </conditionalFormatting>
  <conditionalFormatting sqref="T27:T45">
    <cfRule type="expression" dxfId="1456" priority="1406" stopIfTrue="1">
      <formula>$A27&lt;1</formula>
    </cfRule>
  </conditionalFormatting>
  <conditionalFormatting sqref="T33:T37">
    <cfRule type="expression" dxfId="1455" priority="1405" stopIfTrue="1">
      <formula>$A33&lt;1</formula>
    </cfRule>
  </conditionalFormatting>
  <conditionalFormatting sqref="T27:T45">
    <cfRule type="expression" dxfId="1454" priority="1404" stopIfTrue="1">
      <formula>$A27&lt;1</formula>
    </cfRule>
  </conditionalFormatting>
  <conditionalFormatting sqref="T33:T37">
    <cfRule type="expression" dxfId="1453" priority="1403" stopIfTrue="1">
      <formula>$A33&lt;1</formula>
    </cfRule>
  </conditionalFormatting>
  <conditionalFormatting sqref="T27:T45">
    <cfRule type="expression" dxfId="1452" priority="1402" stopIfTrue="1">
      <formula>$A27&lt;1</formula>
    </cfRule>
  </conditionalFormatting>
  <conditionalFormatting sqref="T33:T37">
    <cfRule type="expression" dxfId="1451" priority="1401" stopIfTrue="1">
      <formula>$A33&lt;1</formula>
    </cfRule>
  </conditionalFormatting>
  <conditionalFormatting sqref="T27:T45">
    <cfRule type="expression" dxfId="1450" priority="1400" stopIfTrue="1">
      <formula>$A27&lt;1</formula>
    </cfRule>
  </conditionalFormatting>
  <conditionalFormatting sqref="T33:T37">
    <cfRule type="expression" dxfId="1449" priority="1399" stopIfTrue="1">
      <formula>$A33&lt;1</formula>
    </cfRule>
  </conditionalFormatting>
  <conditionalFormatting sqref="T27:T45">
    <cfRule type="expression" dxfId="1448" priority="1398" stopIfTrue="1">
      <formula>$A27&lt;1</formula>
    </cfRule>
  </conditionalFormatting>
  <conditionalFormatting sqref="T33:T37">
    <cfRule type="expression" dxfId="1447" priority="1397" stopIfTrue="1">
      <formula>$A33&lt;1</formula>
    </cfRule>
  </conditionalFormatting>
  <conditionalFormatting sqref="T27:T45">
    <cfRule type="expression" dxfId="1446" priority="1396" stopIfTrue="1">
      <formula>$A27&lt;1</formula>
    </cfRule>
  </conditionalFormatting>
  <conditionalFormatting sqref="T33:T37">
    <cfRule type="expression" dxfId="1445" priority="1395" stopIfTrue="1">
      <formula>$A33&lt;1</formula>
    </cfRule>
  </conditionalFormatting>
  <conditionalFormatting sqref="T27:T45">
    <cfRule type="expression" dxfId="1444" priority="1394" stopIfTrue="1">
      <formula>$A27&lt;1</formula>
    </cfRule>
  </conditionalFormatting>
  <conditionalFormatting sqref="T33:T37">
    <cfRule type="expression" dxfId="1443" priority="1393" stopIfTrue="1">
      <formula>$A33&lt;1</formula>
    </cfRule>
  </conditionalFormatting>
  <conditionalFormatting sqref="T27:T45">
    <cfRule type="expression" dxfId="1442" priority="1392" stopIfTrue="1">
      <formula>$A27&lt;1</formula>
    </cfRule>
  </conditionalFormatting>
  <conditionalFormatting sqref="T33:T37">
    <cfRule type="expression" dxfId="1441" priority="1391" stopIfTrue="1">
      <formula>$A33&lt;1</formula>
    </cfRule>
  </conditionalFormatting>
  <conditionalFormatting sqref="T27:T45">
    <cfRule type="expression" dxfId="1440" priority="1390" stopIfTrue="1">
      <formula>$A27&lt;1</formula>
    </cfRule>
  </conditionalFormatting>
  <conditionalFormatting sqref="T33:T37">
    <cfRule type="expression" dxfId="1439" priority="1389" stopIfTrue="1">
      <formula>$A33&lt;1</formula>
    </cfRule>
  </conditionalFormatting>
  <conditionalFormatting sqref="T27:T45">
    <cfRule type="expression" dxfId="1438" priority="1388" stopIfTrue="1">
      <formula>$A27&lt;1</formula>
    </cfRule>
  </conditionalFormatting>
  <conditionalFormatting sqref="T33:T37">
    <cfRule type="expression" dxfId="1437" priority="1387" stopIfTrue="1">
      <formula>$A33&lt;1</formula>
    </cfRule>
  </conditionalFormatting>
  <conditionalFormatting sqref="T27:T45">
    <cfRule type="expression" dxfId="1436" priority="1386" stopIfTrue="1">
      <formula>$A27&lt;1</formula>
    </cfRule>
  </conditionalFormatting>
  <conditionalFormatting sqref="T33:T37">
    <cfRule type="expression" dxfId="1435" priority="1385" stopIfTrue="1">
      <formula>$A33&lt;1</formula>
    </cfRule>
  </conditionalFormatting>
  <conditionalFormatting sqref="T27:T45">
    <cfRule type="expression" dxfId="1434" priority="1384" stopIfTrue="1">
      <formula>$A27&lt;1</formula>
    </cfRule>
  </conditionalFormatting>
  <conditionalFormatting sqref="T33:T37">
    <cfRule type="expression" dxfId="1433" priority="1383" stopIfTrue="1">
      <formula>$A33&lt;1</formula>
    </cfRule>
  </conditionalFormatting>
  <conditionalFormatting sqref="T27:T45">
    <cfRule type="expression" dxfId="1432" priority="1382" stopIfTrue="1">
      <formula>$A27&lt;1</formula>
    </cfRule>
  </conditionalFormatting>
  <conditionalFormatting sqref="T33:T37">
    <cfRule type="expression" dxfId="1431" priority="1381" stopIfTrue="1">
      <formula>$A33&lt;1</formula>
    </cfRule>
  </conditionalFormatting>
  <conditionalFormatting sqref="T27:T45">
    <cfRule type="expression" dxfId="1430" priority="1380" stopIfTrue="1">
      <formula>$A27&lt;1</formula>
    </cfRule>
  </conditionalFormatting>
  <conditionalFormatting sqref="T33:T37">
    <cfRule type="expression" dxfId="1429" priority="1379" stopIfTrue="1">
      <formula>$A33&lt;1</formula>
    </cfRule>
  </conditionalFormatting>
  <conditionalFormatting sqref="T27:T45">
    <cfRule type="expression" dxfId="1428" priority="1378" stopIfTrue="1">
      <formula>$A27&lt;1</formula>
    </cfRule>
  </conditionalFormatting>
  <conditionalFormatting sqref="T33:T37">
    <cfRule type="expression" dxfId="1427" priority="1377" stopIfTrue="1">
      <formula>$A33&lt;1</formula>
    </cfRule>
  </conditionalFormatting>
  <conditionalFormatting sqref="T27:T45">
    <cfRule type="expression" dxfId="1426" priority="1376" stopIfTrue="1">
      <formula>$A27&lt;1</formula>
    </cfRule>
  </conditionalFormatting>
  <conditionalFormatting sqref="T33:T37">
    <cfRule type="expression" dxfId="1425" priority="1375" stopIfTrue="1">
      <formula>$A33&lt;1</formula>
    </cfRule>
  </conditionalFormatting>
  <conditionalFormatting sqref="T27:T45">
    <cfRule type="expression" dxfId="1424" priority="1374" stopIfTrue="1">
      <formula>$A27&lt;1</formula>
    </cfRule>
  </conditionalFormatting>
  <conditionalFormatting sqref="T33:T37">
    <cfRule type="expression" dxfId="1423" priority="1373" stopIfTrue="1">
      <formula>$A33&lt;1</formula>
    </cfRule>
  </conditionalFormatting>
  <conditionalFormatting sqref="T27:T45">
    <cfRule type="expression" dxfId="1422" priority="1372" stopIfTrue="1">
      <formula>$A27&lt;1</formula>
    </cfRule>
  </conditionalFormatting>
  <conditionalFormatting sqref="T33:T37">
    <cfRule type="expression" dxfId="1421" priority="1371" stopIfTrue="1">
      <formula>$A33&lt;1</formula>
    </cfRule>
  </conditionalFormatting>
  <conditionalFormatting sqref="T27:T45">
    <cfRule type="expression" dxfId="1420" priority="1370" stopIfTrue="1">
      <formula>$A27&lt;1</formula>
    </cfRule>
  </conditionalFormatting>
  <conditionalFormatting sqref="T33:T37">
    <cfRule type="expression" dxfId="1419" priority="1369" stopIfTrue="1">
      <formula>$A33&lt;1</formula>
    </cfRule>
  </conditionalFormatting>
  <conditionalFormatting sqref="T27:T45">
    <cfRule type="expression" dxfId="1418" priority="1368" stopIfTrue="1">
      <formula>$A27&lt;1</formula>
    </cfRule>
  </conditionalFormatting>
  <conditionalFormatting sqref="T33:T37">
    <cfRule type="expression" dxfId="1417" priority="1367" stopIfTrue="1">
      <formula>$A33&lt;1</formula>
    </cfRule>
  </conditionalFormatting>
  <conditionalFormatting sqref="T27:T45">
    <cfRule type="expression" dxfId="1416" priority="1366" stopIfTrue="1">
      <formula>$A27&lt;1</formula>
    </cfRule>
  </conditionalFormatting>
  <conditionalFormatting sqref="T33:T37">
    <cfRule type="expression" dxfId="1415" priority="1365" stopIfTrue="1">
      <formula>$A33&lt;1</formula>
    </cfRule>
  </conditionalFormatting>
  <conditionalFormatting sqref="T27:T45">
    <cfRule type="expression" dxfId="1414" priority="1364" stopIfTrue="1">
      <formula>$A27&lt;1</formula>
    </cfRule>
  </conditionalFormatting>
  <conditionalFormatting sqref="T33:T37">
    <cfRule type="expression" dxfId="1413" priority="1363" stopIfTrue="1">
      <formula>$A33&lt;1</formula>
    </cfRule>
  </conditionalFormatting>
  <conditionalFormatting sqref="T27:T45">
    <cfRule type="expression" dxfId="1412" priority="1362" stopIfTrue="1">
      <formula>$A27&lt;1</formula>
    </cfRule>
  </conditionalFormatting>
  <conditionalFormatting sqref="T33:T37">
    <cfRule type="expression" dxfId="1411" priority="1361" stopIfTrue="1">
      <formula>$A33&lt;1</formula>
    </cfRule>
  </conditionalFormatting>
  <conditionalFormatting sqref="T27:T45">
    <cfRule type="expression" dxfId="1410" priority="1360" stopIfTrue="1">
      <formula>$A27&lt;1</formula>
    </cfRule>
  </conditionalFormatting>
  <conditionalFormatting sqref="T33:T37">
    <cfRule type="expression" dxfId="1409" priority="1359" stopIfTrue="1">
      <formula>$A33&lt;1</formula>
    </cfRule>
  </conditionalFormatting>
  <conditionalFormatting sqref="T27:T45">
    <cfRule type="expression" dxfId="1408" priority="1358" stopIfTrue="1">
      <formula>$A27&lt;1</formula>
    </cfRule>
  </conditionalFormatting>
  <conditionalFormatting sqref="T33:T37">
    <cfRule type="expression" dxfId="1407" priority="1357" stopIfTrue="1">
      <formula>$A33&lt;1</formula>
    </cfRule>
  </conditionalFormatting>
  <conditionalFormatting sqref="T27:T45">
    <cfRule type="expression" dxfId="1406" priority="1356" stopIfTrue="1">
      <formula>$A27&lt;1</formula>
    </cfRule>
  </conditionalFormatting>
  <conditionalFormatting sqref="T33:T37">
    <cfRule type="expression" dxfId="1405" priority="1355" stopIfTrue="1">
      <formula>$A33&lt;1</formula>
    </cfRule>
  </conditionalFormatting>
  <conditionalFormatting sqref="T27:T45">
    <cfRule type="expression" dxfId="1404" priority="1354" stopIfTrue="1">
      <formula>$A27&lt;1</formula>
    </cfRule>
  </conditionalFormatting>
  <conditionalFormatting sqref="T33:T37">
    <cfRule type="expression" dxfId="1403" priority="1353" stopIfTrue="1">
      <formula>$A33&lt;1</formula>
    </cfRule>
  </conditionalFormatting>
  <conditionalFormatting sqref="T27:T45">
    <cfRule type="expression" dxfId="1402" priority="1352" stopIfTrue="1">
      <formula>$A27&lt;1</formula>
    </cfRule>
  </conditionalFormatting>
  <conditionalFormatting sqref="T33:T37">
    <cfRule type="expression" dxfId="1401" priority="1351" stopIfTrue="1">
      <formula>$A33&lt;1</formula>
    </cfRule>
  </conditionalFormatting>
  <conditionalFormatting sqref="T27:T45">
    <cfRule type="expression" dxfId="1400" priority="1350" stopIfTrue="1">
      <formula>$A27&lt;1</formula>
    </cfRule>
  </conditionalFormatting>
  <conditionalFormatting sqref="T33:T37">
    <cfRule type="expression" dxfId="1399" priority="1349" stopIfTrue="1">
      <formula>$A33&lt;1</formula>
    </cfRule>
  </conditionalFormatting>
  <conditionalFormatting sqref="T27:T45">
    <cfRule type="expression" dxfId="1398" priority="1348" stopIfTrue="1">
      <formula>$A27&lt;1</formula>
    </cfRule>
  </conditionalFormatting>
  <conditionalFormatting sqref="T33:T37">
    <cfRule type="expression" dxfId="1397" priority="1347" stopIfTrue="1">
      <formula>$A33&lt;1</formula>
    </cfRule>
  </conditionalFormatting>
  <conditionalFormatting sqref="T27:T45">
    <cfRule type="expression" dxfId="1396" priority="1346" stopIfTrue="1">
      <formula>$A27&lt;1</formula>
    </cfRule>
  </conditionalFormatting>
  <conditionalFormatting sqref="T33:T37">
    <cfRule type="expression" dxfId="1395" priority="1345" stopIfTrue="1">
      <formula>$A33&lt;1</formula>
    </cfRule>
  </conditionalFormatting>
  <conditionalFormatting sqref="T27:T45">
    <cfRule type="expression" dxfId="1394" priority="1344" stopIfTrue="1">
      <formula>$A27&lt;1</formula>
    </cfRule>
  </conditionalFormatting>
  <conditionalFormatting sqref="T33:T37">
    <cfRule type="expression" dxfId="1393" priority="1343" stopIfTrue="1">
      <formula>$A33&lt;1</formula>
    </cfRule>
  </conditionalFormatting>
  <conditionalFormatting sqref="T27:T45">
    <cfRule type="expression" dxfId="1392" priority="1342" stopIfTrue="1">
      <formula>$A27&lt;1</formula>
    </cfRule>
  </conditionalFormatting>
  <conditionalFormatting sqref="T33:T37">
    <cfRule type="expression" dxfId="1391" priority="1341" stopIfTrue="1">
      <formula>$A33&lt;1</formula>
    </cfRule>
  </conditionalFormatting>
  <conditionalFormatting sqref="T27:T45">
    <cfRule type="expression" dxfId="1390" priority="1340" stopIfTrue="1">
      <formula>$A27&lt;1</formula>
    </cfRule>
  </conditionalFormatting>
  <conditionalFormatting sqref="T33:T37">
    <cfRule type="expression" dxfId="1389" priority="1339" stopIfTrue="1">
      <formula>$A33&lt;1</formula>
    </cfRule>
  </conditionalFormatting>
  <conditionalFormatting sqref="T27:T45">
    <cfRule type="expression" dxfId="1388" priority="1338" stopIfTrue="1">
      <formula>$A27&lt;1</formula>
    </cfRule>
  </conditionalFormatting>
  <conditionalFormatting sqref="T33:T37">
    <cfRule type="expression" dxfId="1387" priority="1337" stopIfTrue="1">
      <formula>$A33&lt;1</formula>
    </cfRule>
  </conditionalFormatting>
  <conditionalFormatting sqref="T27:T45">
    <cfRule type="expression" dxfId="1386" priority="1336" stopIfTrue="1">
      <formula>$A27&lt;1</formula>
    </cfRule>
  </conditionalFormatting>
  <conditionalFormatting sqref="T33:T37">
    <cfRule type="expression" dxfId="1385" priority="1335" stopIfTrue="1">
      <formula>$A33&lt;1</formula>
    </cfRule>
  </conditionalFormatting>
  <conditionalFormatting sqref="T27:T45">
    <cfRule type="expression" dxfId="1384" priority="1334" stopIfTrue="1">
      <formula>$A27&lt;1</formula>
    </cfRule>
  </conditionalFormatting>
  <conditionalFormatting sqref="T33:T37">
    <cfRule type="expression" dxfId="1383" priority="1333" stopIfTrue="1">
      <formula>$A33&lt;1</formula>
    </cfRule>
  </conditionalFormatting>
  <conditionalFormatting sqref="T27:T45">
    <cfRule type="expression" dxfId="1382" priority="1332" stopIfTrue="1">
      <formula>$A27&lt;1</formula>
    </cfRule>
  </conditionalFormatting>
  <conditionalFormatting sqref="T33:T37">
    <cfRule type="expression" dxfId="1381" priority="1331" stopIfTrue="1">
      <formula>$A33&lt;1</formula>
    </cfRule>
  </conditionalFormatting>
  <conditionalFormatting sqref="T27:T45">
    <cfRule type="expression" dxfId="1380" priority="1330" stopIfTrue="1">
      <formula>$A27&lt;1</formula>
    </cfRule>
  </conditionalFormatting>
  <conditionalFormatting sqref="T33:T37">
    <cfRule type="expression" dxfId="1379" priority="1329" stopIfTrue="1">
      <formula>$A33&lt;1</formula>
    </cfRule>
  </conditionalFormatting>
  <conditionalFormatting sqref="T27:T45">
    <cfRule type="expression" dxfId="1378" priority="1328" stopIfTrue="1">
      <formula>$A27&lt;1</formula>
    </cfRule>
  </conditionalFormatting>
  <conditionalFormatting sqref="T33:T37">
    <cfRule type="expression" dxfId="1377" priority="1327" stopIfTrue="1">
      <formula>$A33&lt;1</formula>
    </cfRule>
  </conditionalFormatting>
  <conditionalFormatting sqref="T27:T45">
    <cfRule type="expression" dxfId="1376" priority="1326" stopIfTrue="1">
      <formula>$A27&lt;1</formula>
    </cfRule>
  </conditionalFormatting>
  <conditionalFormatting sqref="T33:T37">
    <cfRule type="expression" dxfId="1375" priority="1325" stopIfTrue="1">
      <formula>$A33&lt;1</formula>
    </cfRule>
  </conditionalFormatting>
  <conditionalFormatting sqref="T27:T45">
    <cfRule type="expression" dxfId="1374" priority="1324" stopIfTrue="1">
      <formula>$A27&lt;1</formula>
    </cfRule>
  </conditionalFormatting>
  <conditionalFormatting sqref="T33:T37">
    <cfRule type="expression" dxfId="1373" priority="1323" stopIfTrue="1">
      <formula>$A33&lt;1</formula>
    </cfRule>
  </conditionalFormatting>
  <conditionalFormatting sqref="T27:T45">
    <cfRule type="expression" dxfId="1372" priority="1322" stopIfTrue="1">
      <formula>$A27&lt;1</formula>
    </cfRule>
  </conditionalFormatting>
  <conditionalFormatting sqref="T33:T37">
    <cfRule type="expression" dxfId="1371" priority="1321" stopIfTrue="1">
      <formula>$A33&lt;1</formula>
    </cfRule>
  </conditionalFormatting>
  <conditionalFormatting sqref="T27:T45">
    <cfRule type="expression" dxfId="1370" priority="1320" stopIfTrue="1">
      <formula>$A27&lt;1</formula>
    </cfRule>
  </conditionalFormatting>
  <conditionalFormatting sqref="T33:T37">
    <cfRule type="expression" dxfId="1369" priority="1319" stopIfTrue="1">
      <formula>$A33&lt;1</formula>
    </cfRule>
  </conditionalFormatting>
  <conditionalFormatting sqref="T27:T45">
    <cfRule type="expression" dxfId="1368" priority="1318" stopIfTrue="1">
      <formula>$A27&lt;1</formula>
    </cfRule>
  </conditionalFormatting>
  <conditionalFormatting sqref="T33:T37">
    <cfRule type="expression" dxfId="1367" priority="1317" stopIfTrue="1">
      <formula>$A33&lt;1</formula>
    </cfRule>
  </conditionalFormatting>
  <conditionalFormatting sqref="T27:T45">
    <cfRule type="expression" dxfId="1366" priority="1316" stopIfTrue="1">
      <formula>$A27&lt;1</formula>
    </cfRule>
  </conditionalFormatting>
  <conditionalFormatting sqref="T33:T37">
    <cfRule type="expression" dxfId="1365" priority="1315" stopIfTrue="1">
      <formula>$A33&lt;1</formula>
    </cfRule>
  </conditionalFormatting>
  <conditionalFormatting sqref="T27:T45">
    <cfRule type="expression" dxfId="1364" priority="1314" stopIfTrue="1">
      <formula>$A27&lt;1</formula>
    </cfRule>
  </conditionalFormatting>
  <conditionalFormatting sqref="T33:T37">
    <cfRule type="expression" dxfId="1363" priority="1313" stopIfTrue="1">
      <formula>$A33&lt;1</formula>
    </cfRule>
  </conditionalFormatting>
  <conditionalFormatting sqref="T27:T45">
    <cfRule type="expression" dxfId="1362" priority="1312" stopIfTrue="1">
      <formula>$A27&lt;1</formula>
    </cfRule>
  </conditionalFormatting>
  <conditionalFormatting sqref="T33:T37">
    <cfRule type="expression" dxfId="1361" priority="1311" stopIfTrue="1">
      <formula>$A33&lt;1</formula>
    </cfRule>
  </conditionalFormatting>
  <conditionalFormatting sqref="T27:T45">
    <cfRule type="expression" dxfId="1360" priority="1310" stopIfTrue="1">
      <formula>$A27&lt;1</formula>
    </cfRule>
  </conditionalFormatting>
  <conditionalFormatting sqref="T33:T37">
    <cfRule type="expression" dxfId="1359" priority="1309" stopIfTrue="1">
      <formula>$A33&lt;1</formula>
    </cfRule>
  </conditionalFormatting>
  <conditionalFormatting sqref="T27:T45">
    <cfRule type="expression" dxfId="1358" priority="1308" stopIfTrue="1">
      <formula>$A27&lt;1</formula>
    </cfRule>
  </conditionalFormatting>
  <conditionalFormatting sqref="T33:T37">
    <cfRule type="expression" dxfId="1357" priority="1307" stopIfTrue="1">
      <formula>$A33&lt;1</formula>
    </cfRule>
  </conditionalFormatting>
  <conditionalFormatting sqref="T27:T45">
    <cfRule type="expression" dxfId="1356" priority="1306" stopIfTrue="1">
      <formula>$A27&lt;1</formula>
    </cfRule>
  </conditionalFormatting>
  <conditionalFormatting sqref="T33:T37">
    <cfRule type="expression" dxfId="1355" priority="1305" stopIfTrue="1">
      <formula>$A33&lt;1</formula>
    </cfRule>
  </conditionalFormatting>
  <conditionalFormatting sqref="T27:T45">
    <cfRule type="expression" dxfId="1354" priority="1304" stopIfTrue="1">
      <formula>$A27&lt;1</formula>
    </cfRule>
  </conditionalFormatting>
  <conditionalFormatting sqref="T33:T37">
    <cfRule type="expression" dxfId="1353" priority="1303" stopIfTrue="1">
      <formula>$A33&lt;1</formula>
    </cfRule>
  </conditionalFormatting>
  <conditionalFormatting sqref="T27:T45">
    <cfRule type="expression" dxfId="1352" priority="1302" stopIfTrue="1">
      <formula>$A27&lt;1</formula>
    </cfRule>
  </conditionalFormatting>
  <conditionalFormatting sqref="T33:T37">
    <cfRule type="expression" dxfId="1351" priority="1301" stopIfTrue="1">
      <formula>$A33&lt;1</formula>
    </cfRule>
  </conditionalFormatting>
  <conditionalFormatting sqref="T27:T45">
    <cfRule type="expression" dxfId="1350" priority="1300" stopIfTrue="1">
      <formula>$A27&lt;1</formula>
    </cfRule>
  </conditionalFormatting>
  <conditionalFormatting sqref="T33:T37">
    <cfRule type="expression" dxfId="1349" priority="1299" stopIfTrue="1">
      <formula>$A33&lt;1</formula>
    </cfRule>
  </conditionalFormatting>
  <conditionalFormatting sqref="T27:T45">
    <cfRule type="expression" dxfId="1348" priority="1298" stopIfTrue="1">
      <formula>$A27&lt;1</formula>
    </cfRule>
  </conditionalFormatting>
  <conditionalFormatting sqref="T33:T37">
    <cfRule type="expression" dxfId="1347" priority="1297" stopIfTrue="1">
      <formula>$A33&lt;1</formula>
    </cfRule>
  </conditionalFormatting>
  <conditionalFormatting sqref="T27:T45">
    <cfRule type="expression" dxfId="1346" priority="1296" stopIfTrue="1">
      <formula>$A27&lt;1</formula>
    </cfRule>
  </conditionalFormatting>
  <conditionalFormatting sqref="T33:T37">
    <cfRule type="expression" dxfId="1345" priority="1295" stopIfTrue="1">
      <formula>$A33&lt;1</formula>
    </cfRule>
  </conditionalFormatting>
  <conditionalFormatting sqref="T27:T45">
    <cfRule type="expression" dxfId="1344" priority="1294" stopIfTrue="1">
      <formula>$A27&lt;1</formula>
    </cfRule>
  </conditionalFormatting>
  <conditionalFormatting sqref="T33:T37">
    <cfRule type="expression" dxfId="1343" priority="1293" stopIfTrue="1">
      <formula>$A33&lt;1</formula>
    </cfRule>
  </conditionalFormatting>
  <conditionalFormatting sqref="T27:T45">
    <cfRule type="expression" dxfId="1342" priority="1292" stopIfTrue="1">
      <formula>$A27&lt;1</formula>
    </cfRule>
  </conditionalFormatting>
  <conditionalFormatting sqref="T33:T37">
    <cfRule type="expression" dxfId="1341" priority="1291" stopIfTrue="1">
      <formula>$A33&lt;1</formula>
    </cfRule>
  </conditionalFormatting>
  <conditionalFormatting sqref="T27:T45">
    <cfRule type="expression" dxfId="1340" priority="1290" stopIfTrue="1">
      <formula>$A27&lt;1</formula>
    </cfRule>
  </conditionalFormatting>
  <conditionalFormatting sqref="T33:T37">
    <cfRule type="expression" dxfId="1339" priority="1289" stopIfTrue="1">
      <formula>$A33&lt;1</formula>
    </cfRule>
  </conditionalFormatting>
  <conditionalFormatting sqref="T27:T45">
    <cfRule type="expression" dxfId="1338" priority="1288" stopIfTrue="1">
      <formula>$A27&lt;1</formula>
    </cfRule>
  </conditionalFormatting>
  <conditionalFormatting sqref="T33:T37">
    <cfRule type="expression" dxfId="1337" priority="1287" stopIfTrue="1">
      <formula>$A33&lt;1</formula>
    </cfRule>
  </conditionalFormatting>
  <conditionalFormatting sqref="T27:T45">
    <cfRule type="expression" dxfId="1336" priority="1286" stopIfTrue="1">
      <formula>$A27&lt;1</formula>
    </cfRule>
  </conditionalFormatting>
  <conditionalFormatting sqref="T33:T37">
    <cfRule type="expression" dxfId="1335" priority="1285" stopIfTrue="1">
      <formula>$A33&lt;1</formula>
    </cfRule>
  </conditionalFormatting>
  <conditionalFormatting sqref="T27:T45">
    <cfRule type="expression" dxfId="1334" priority="1284" stopIfTrue="1">
      <formula>$A27&lt;1</formula>
    </cfRule>
  </conditionalFormatting>
  <conditionalFormatting sqref="T33:T37">
    <cfRule type="expression" dxfId="1333" priority="1283" stopIfTrue="1">
      <formula>$A33&lt;1</formula>
    </cfRule>
  </conditionalFormatting>
  <conditionalFormatting sqref="T27:T45">
    <cfRule type="expression" dxfId="1332" priority="1282" stopIfTrue="1">
      <formula>$A27&lt;1</formula>
    </cfRule>
  </conditionalFormatting>
  <conditionalFormatting sqref="T33:T37">
    <cfRule type="expression" dxfId="1331" priority="1281" stopIfTrue="1">
      <formula>$A33&lt;1</formula>
    </cfRule>
  </conditionalFormatting>
  <conditionalFormatting sqref="T27:T45">
    <cfRule type="expression" dxfId="1330" priority="1280" stopIfTrue="1">
      <formula>$A27&lt;1</formula>
    </cfRule>
  </conditionalFormatting>
  <conditionalFormatting sqref="T33:T37">
    <cfRule type="expression" dxfId="1329" priority="1279" stopIfTrue="1">
      <formula>$A33&lt;1</formula>
    </cfRule>
  </conditionalFormatting>
  <conditionalFormatting sqref="T27:T45">
    <cfRule type="expression" dxfId="1328" priority="1278" stopIfTrue="1">
      <formula>$A27&lt;1</formula>
    </cfRule>
  </conditionalFormatting>
  <conditionalFormatting sqref="T33:T37">
    <cfRule type="expression" dxfId="1327" priority="1277" stopIfTrue="1">
      <formula>$A33&lt;1</formula>
    </cfRule>
  </conditionalFormatting>
  <conditionalFormatting sqref="T27:T45">
    <cfRule type="expression" dxfId="1326" priority="1276" stopIfTrue="1">
      <formula>$A27&lt;1</formula>
    </cfRule>
  </conditionalFormatting>
  <conditionalFormatting sqref="T33:T37">
    <cfRule type="expression" dxfId="1325" priority="1275" stopIfTrue="1">
      <formula>$A33&lt;1</formula>
    </cfRule>
  </conditionalFormatting>
  <conditionalFormatting sqref="T27:T45">
    <cfRule type="expression" dxfId="1324" priority="1274" stopIfTrue="1">
      <formula>$A27&lt;1</formula>
    </cfRule>
  </conditionalFormatting>
  <conditionalFormatting sqref="T33:T37">
    <cfRule type="expression" dxfId="1323" priority="1273" stopIfTrue="1">
      <formula>$A33&lt;1</formula>
    </cfRule>
  </conditionalFormatting>
  <conditionalFormatting sqref="T27:T45">
    <cfRule type="expression" dxfId="1322" priority="1272" stopIfTrue="1">
      <formula>$A27&lt;1</formula>
    </cfRule>
  </conditionalFormatting>
  <conditionalFormatting sqref="T33:T37">
    <cfRule type="expression" dxfId="1321" priority="1271" stopIfTrue="1">
      <formula>$A33&lt;1</formula>
    </cfRule>
  </conditionalFormatting>
  <conditionalFormatting sqref="T27:T45">
    <cfRule type="expression" dxfId="1320" priority="1270" stopIfTrue="1">
      <formula>$A27&lt;1</formula>
    </cfRule>
  </conditionalFormatting>
  <conditionalFormatting sqref="T33:T37">
    <cfRule type="expression" dxfId="1319" priority="1269" stopIfTrue="1">
      <formula>$A33&lt;1</formula>
    </cfRule>
  </conditionalFormatting>
  <conditionalFormatting sqref="T27:T45">
    <cfRule type="expression" dxfId="1318" priority="1268" stopIfTrue="1">
      <formula>$A27&lt;1</formula>
    </cfRule>
  </conditionalFormatting>
  <conditionalFormatting sqref="T33:T37">
    <cfRule type="expression" dxfId="1317" priority="1267" stopIfTrue="1">
      <formula>$A33&lt;1</formula>
    </cfRule>
  </conditionalFormatting>
  <conditionalFormatting sqref="T27:T45">
    <cfRule type="expression" dxfId="1316" priority="1266" stopIfTrue="1">
      <formula>$A27&lt;1</formula>
    </cfRule>
  </conditionalFormatting>
  <conditionalFormatting sqref="T33:T37">
    <cfRule type="expression" dxfId="1315" priority="1265" stopIfTrue="1">
      <formula>$A33&lt;1</formula>
    </cfRule>
  </conditionalFormatting>
  <conditionalFormatting sqref="T27:T45">
    <cfRule type="expression" dxfId="1314" priority="1264" stopIfTrue="1">
      <formula>$A27&lt;1</formula>
    </cfRule>
  </conditionalFormatting>
  <conditionalFormatting sqref="T33:T37">
    <cfRule type="expression" dxfId="1313" priority="1263" stopIfTrue="1">
      <formula>$A33&lt;1</formula>
    </cfRule>
  </conditionalFormatting>
  <conditionalFormatting sqref="T27:T45">
    <cfRule type="expression" dxfId="1312" priority="1262" stopIfTrue="1">
      <formula>$A27&lt;1</formula>
    </cfRule>
  </conditionalFormatting>
  <conditionalFormatting sqref="T33:T37">
    <cfRule type="expression" dxfId="1311" priority="1261" stopIfTrue="1">
      <formula>$A33&lt;1</formula>
    </cfRule>
  </conditionalFormatting>
  <conditionalFormatting sqref="T27:T45">
    <cfRule type="expression" dxfId="1310" priority="1260" stopIfTrue="1">
      <formula>$A27&lt;1</formula>
    </cfRule>
  </conditionalFormatting>
  <conditionalFormatting sqref="T33:T37">
    <cfRule type="expression" dxfId="1309" priority="1259" stopIfTrue="1">
      <formula>$A33&lt;1</formula>
    </cfRule>
  </conditionalFormatting>
  <conditionalFormatting sqref="T27:T45">
    <cfRule type="expression" dxfId="1308" priority="1258" stopIfTrue="1">
      <formula>$A27&lt;1</formula>
    </cfRule>
  </conditionalFormatting>
  <conditionalFormatting sqref="T33:T37">
    <cfRule type="expression" dxfId="1307" priority="1257" stopIfTrue="1">
      <formula>$A33&lt;1</formula>
    </cfRule>
  </conditionalFormatting>
  <conditionalFormatting sqref="T27:T45">
    <cfRule type="expression" dxfId="1306" priority="1256" stopIfTrue="1">
      <formula>$A27&lt;1</formula>
    </cfRule>
  </conditionalFormatting>
  <conditionalFormatting sqref="T33:T37">
    <cfRule type="expression" dxfId="1305" priority="1255" stopIfTrue="1">
      <formula>$A33&lt;1</formula>
    </cfRule>
  </conditionalFormatting>
  <conditionalFormatting sqref="T27:T45">
    <cfRule type="expression" dxfId="1304" priority="1254" stopIfTrue="1">
      <formula>$A27&lt;1</formula>
    </cfRule>
  </conditionalFormatting>
  <conditionalFormatting sqref="T33:T37">
    <cfRule type="expression" dxfId="1303" priority="1253" stopIfTrue="1">
      <formula>$A33&lt;1</formula>
    </cfRule>
  </conditionalFormatting>
  <conditionalFormatting sqref="T27:T45">
    <cfRule type="expression" dxfId="1302" priority="1252" stopIfTrue="1">
      <formula>$A27&lt;1</formula>
    </cfRule>
  </conditionalFormatting>
  <conditionalFormatting sqref="T33:T37">
    <cfRule type="expression" dxfId="1301" priority="1251" stopIfTrue="1">
      <formula>$A33&lt;1</formula>
    </cfRule>
  </conditionalFormatting>
  <conditionalFormatting sqref="T27:T45">
    <cfRule type="expression" dxfId="1300" priority="1250" stopIfTrue="1">
      <formula>$A27&lt;1</formula>
    </cfRule>
  </conditionalFormatting>
  <conditionalFormatting sqref="T33:T37">
    <cfRule type="expression" dxfId="1299" priority="1249" stopIfTrue="1">
      <formula>$A33&lt;1</formula>
    </cfRule>
  </conditionalFormatting>
  <conditionalFormatting sqref="T27:T45">
    <cfRule type="expression" dxfId="1298" priority="1248" stopIfTrue="1">
      <formula>$A27&lt;1</formula>
    </cfRule>
  </conditionalFormatting>
  <conditionalFormatting sqref="T33:T37">
    <cfRule type="expression" dxfId="1297" priority="1247" stopIfTrue="1">
      <formula>$A33&lt;1</formula>
    </cfRule>
  </conditionalFormatting>
  <conditionalFormatting sqref="T27:T45">
    <cfRule type="expression" dxfId="1296" priority="1246" stopIfTrue="1">
      <formula>$A27&lt;1</formula>
    </cfRule>
  </conditionalFormatting>
  <conditionalFormatting sqref="T33:T37">
    <cfRule type="expression" dxfId="1295" priority="1245" stopIfTrue="1">
      <formula>$A33&lt;1</formula>
    </cfRule>
  </conditionalFormatting>
  <conditionalFormatting sqref="T27:T45">
    <cfRule type="expression" dxfId="1294" priority="1244" stopIfTrue="1">
      <formula>$A27&lt;1</formula>
    </cfRule>
  </conditionalFormatting>
  <conditionalFormatting sqref="T33:T37">
    <cfRule type="expression" dxfId="1293" priority="1243" stopIfTrue="1">
      <formula>$A33&lt;1</formula>
    </cfRule>
  </conditionalFormatting>
  <conditionalFormatting sqref="T27:T45">
    <cfRule type="expression" dxfId="1292" priority="1242" stopIfTrue="1">
      <formula>$A27&lt;1</formula>
    </cfRule>
  </conditionalFormatting>
  <conditionalFormatting sqref="T33:T37">
    <cfRule type="expression" dxfId="1291" priority="1241" stopIfTrue="1">
      <formula>$A33&lt;1</formula>
    </cfRule>
  </conditionalFormatting>
  <conditionalFormatting sqref="T27:T45">
    <cfRule type="expression" dxfId="1290" priority="1240" stopIfTrue="1">
      <formula>$A27&lt;1</formula>
    </cfRule>
  </conditionalFormatting>
  <conditionalFormatting sqref="T33:T37">
    <cfRule type="expression" dxfId="1289" priority="1239" stopIfTrue="1">
      <formula>$A33&lt;1</formula>
    </cfRule>
  </conditionalFormatting>
  <conditionalFormatting sqref="T27:T45">
    <cfRule type="expression" dxfId="1288" priority="1238" stopIfTrue="1">
      <formula>$A27&lt;1</formula>
    </cfRule>
  </conditionalFormatting>
  <conditionalFormatting sqref="T33:T37">
    <cfRule type="expression" dxfId="1287" priority="1237" stopIfTrue="1">
      <formula>$A33&lt;1</formula>
    </cfRule>
  </conditionalFormatting>
  <conditionalFormatting sqref="T27:T45">
    <cfRule type="expression" dxfId="1286" priority="1236" stopIfTrue="1">
      <formula>$A27&lt;1</formula>
    </cfRule>
  </conditionalFormatting>
  <conditionalFormatting sqref="T33:T37">
    <cfRule type="expression" dxfId="1285" priority="1235" stopIfTrue="1">
      <formula>$A33&lt;1</formula>
    </cfRule>
  </conditionalFormatting>
  <conditionalFormatting sqref="T27:T45">
    <cfRule type="expression" dxfId="1284" priority="1234" stopIfTrue="1">
      <formula>$A27&lt;1</formula>
    </cfRule>
  </conditionalFormatting>
  <conditionalFormatting sqref="T33:T37">
    <cfRule type="expression" dxfId="1283" priority="1233" stopIfTrue="1">
      <formula>$A33&lt;1</formula>
    </cfRule>
  </conditionalFormatting>
  <conditionalFormatting sqref="T27:T45">
    <cfRule type="expression" dxfId="1282" priority="1232" stopIfTrue="1">
      <formula>$A27&lt;1</formula>
    </cfRule>
  </conditionalFormatting>
  <conditionalFormatting sqref="T33:T37">
    <cfRule type="expression" dxfId="1281" priority="1231" stopIfTrue="1">
      <formula>$A33&lt;1</formula>
    </cfRule>
  </conditionalFormatting>
  <conditionalFormatting sqref="T27:T45">
    <cfRule type="expression" dxfId="1280" priority="1230" stopIfTrue="1">
      <formula>$A27&lt;1</formula>
    </cfRule>
  </conditionalFormatting>
  <conditionalFormatting sqref="T33:T37">
    <cfRule type="expression" dxfId="1279" priority="1229" stopIfTrue="1">
      <formula>$A33&lt;1</formula>
    </cfRule>
  </conditionalFormatting>
  <conditionalFormatting sqref="T27:T45">
    <cfRule type="expression" dxfId="1278" priority="1228" stopIfTrue="1">
      <formula>$A27&lt;1</formula>
    </cfRule>
  </conditionalFormatting>
  <conditionalFormatting sqref="T33:T37">
    <cfRule type="expression" dxfId="1277" priority="1227" stopIfTrue="1">
      <formula>$A33&lt;1</formula>
    </cfRule>
  </conditionalFormatting>
  <conditionalFormatting sqref="T27:T45">
    <cfRule type="expression" dxfId="1276" priority="1226" stopIfTrue="1">
      <formula>$A27&lt;1</formula>
    </cfRule>
  </conditionalFormatting>
  <conditionalFormatting sqref="T33:T37">
    <cfRule type="expression" dxfId="1275" priority="1225" stopIfTrue="1">
      <formula>$A33&lt;1</formula>
    </cfRule>
  </conditionalFormatting>
  <conditionalFormatting sqref="T27:T45">
    <cfRule type="expression" dxfId="1274" priority="1224" stopIfTrue="1">
      <formula>$A27&lt;1</formula>
    </cfRule>
  </conditionalFormatting>
  <conditionalFormatting sqref="T33:T37">
    <cfRule type="expression" dxfId="1273" priority="1223" stopIfTrue="1">
      <formula>$A33&lt;1</formula>
    </cfRule>
  </conditionalFormatting>
  <conditionalFormatting sqref="T27:T45">
    <cfRule type="expression" dxfId="1272" priority="1222" stopIfTrue="1">
      <formula>$A27&lt;1</formula>
    </cfRule>
  </conditionalFormatting>
  <conditionalFormatting sqref="T33:T37">
    <cfRule type="expression" dxfId="1271" priority="1221" stopIfTrue="1">
      <formula>$A33&lt;1</formula>
    </cfRule>
  </conditionalFormatting>
  <conditionalFormatting sqref="T27:T45">
    <cfRule type="expression" dxfId="1270" priority="1220" stopIfTrue="1">
      <formula>$A27&lt;1</formula>
    </cfRule>
  </conditionalFormatting>
  <conditionalFormatting sqref="T33:T37">
    <cfRule type="expression" dxfId="1269" priority="1219" stopIfTrue="1">
      <formula>$A33&lt;1</formula>
    </cfRule>
  </conditionalFormatting>
  <conditionalFormatting sqref="T27:T45">
    <cfRule type="expression" dxfId="1268" priority="1218" stopIfTrue="1">
      <formula>$A27&lt;1</formula>
    </cfRule>
  </conditionalFormatting>
  <conditionalFormatting sqref="T33:T37">
    <cfRule type="expression" dxfId="1267" priority="1217" stopIfTrue="1">
      <formula>$A33&lt;1</formula>
    </cfRule>
  </conditionalFormatting>
  <conditionalFormatting sqref="T27:T45">
    <cfRule type="expression" dxfId="1266" priority="1216" stopIfTrue="1">
      <formula>$A27&lt;1</formula>
    </cfRule>
  </conditionalFormatting>
  <conditionalFormatting sqref="T33:T37">
    <cfRule type="expression" dxfId="1265" priority="1215" stopIfTrue="1">
      <formula>$A33&lt;1</formula>
    </cfRule>
  </conditionalFormatting>
  <conditionalFormatting sqref="T27:T45">
    <cfRule type="expression" dxfId="1264" priority="1214" stopIfTrue="1">
      <formula>$A27&lt;1</formula>
    </cfRule>
  </conditionalFormatting>
  <conditionalFormatting sqref="T33:T37">
    <cfRule type="expression" dxfId="1263" priority="1213" stopIfTrue="1">
      <formula>$A33&lt;1</formula>
    </cfRule>
  </conditionalFormatting>
  <conditionalFormatting sqref="T27:T45">
    <cfRule type="expression" dxfId="1262" priority="1212" stopIfTrue="1">
      <formula>$A27&lt;1</formula>
    </cfRule>
  </conditionalFormatting>
  <conditionalFormatting sqref="T33:T37">
    <cfRule type="expression" dxfId="1261" priority="1211" stopIfTrue="1">
      <formula>$A33&lt;1</formula>
    </cfRule>
  </conditionalFormatting>
  <conditionalFormatting sqref="T27:T45">
    <cfRule type="expression" dxfId="1260" priority="1210" stopIfTrue="1">
      <formula>$A27&lt;1</formula>
    </cfRule>
  </conditionalFormatting>
  <conditionalFormatting sqref="T33:T37">
    <cfRule type="expression" dxfId="1259" priority="1209" stopIfTrue="1">
      <formula>$A33&lt;1</formula>
    </cfRule>
  </conditionalFormatting>
  <conditionalFormatting sqref="T27:T45">
    <cfRule type="expression" dxfId="1258" priority="1208" stopIfTrue="1">
      <formula>$A27&lt;1</formula>
    </cfRule>
  </conditionalFormatting>
  <conditionalFormatting sqref="T33:T37">
    <cfRule type="expression" dxfId="1257" priority="1207" stopIfTrue="1">
      <formula>$A33&lt;1</formula>
    </cfRule>
  </conditionalFormatting>
  <conditionalFormatting sqref="T27:T45">
    <cfRule type="expression" dxfId="1256" priority="1206" stopIfTrue="1">
      <formula>$A27&lt;1</formula>
    </cfRule>
  </conditionalFormatting>
  <conditionalFormatting sqref="T33:T37">
    <cfRule type="expression" dxfId="1255" priority="1205" stopIfTrue="1">
      <formula>$A33&lt;1</formula>
    </cfRule>
  </conditionalFormatting>
  <conditionalFormatting sqref="T27:T45">
    <cfRule type="expression" dxfId="1254" priority="1204" stopIfTrue="1">
      <formula>$A27&lt;1</formula>
    </cfRule>
  </conditionalFormatting>
  <conditionalFormatting sqref="T33:T37">
    <cfRule type="expression" dxfId="1253" priority="1203" stopIfTrue="1">
      <formula>$A33&lt;1</formula>
    </cfRule>
  </conditionalFormatting>
  <conditionalFormatting sqref="T27:T45">
    <cfRule type="expression" dxfId="1252" priority="1202" stopIfTrue="1">
      <formula>$A27&lt;1</formula>
    </cfRule>
  </conditionalFormatting>
  <conditionalFormatting sqref="T33:T37">
    <cfRule type="expression" dxfId="1251" priority="1201" stopIfTrue="1">
      <formula>$A33&lt;1</formula>
    </cfRule>
  </conditionalFormatting>
  <conditionalFormatting sqref="T27:T45">
    <cfRule type="expression" dxfId="1250" priority="1200" stopIfTrue="1">
      <formula>$A27&lt;1</formula>
    </cfRule>
  </conditionalFormatting>
  <conditionalFormatting sqref="T33:T37">
    <cfRule type="expression" dxfId="1249" priority="1199" stopIfTrue="1">
      <formula>$A33&lt;1</formula>
    </cfRule>
  </conditionalFormatting>
  <conditionalFormatting sqref="T27:T45">
    <cfRule type="expression" dxfId="1248" priority="1198" stopIfTrue="1">
      <formula>$A27&lt;1</formula>
    </cfRule>
  </conditionalFormatting>
  <conditionalFormatting sqref="T33:T37">
    <cfRule type="expression" dxfId="1247" priority="1197" stopIfTrue="1">
      <formula>$A33&lt;1</formula>
    </cfRule>
  </conditionalFormatting>
  <conditionalFormatting sqref="T27:T45">
    <cfRule type="expression" dxfId="1246" priority="1196" stopIfTrue="1">
      <formula>$A27&lt;1</formula>
    </cfRule>
  </conditionalFormatting>
  <conditionalFormatting sqref="T33:T37">
    <cfRule type="expression" dxfId="1245" priority="1195" stopIfTrue="1">
      <formula>$A33&lt;1</formula>
    </cfRule>
  </conditionalFormatting>
  <conditionalFormatting sqref="T27:T45">
    <cfRule type="expression" dxfId="1244" priority="1194" stopIfTrue="1">
      <formula>$A27&lt;1</formula>
    </cfRule>
  </conditionalFormatting>
  <conditionalFormatting sqref="T33:T37">
    <cfRule type="expression" dxfId="1243" priority="1193" stopIfTrue="1">
      <formula>$A33&lt;1</formula>
    </cfRule>
  </conditionalFormatting>
  <conditionalFormatting sqref="T27:T45">
    <cfRule type="expression" dxfId="1242" priority="1192" stopIfTrue="1">
      <formula>$A27&lt;1</formula>
    </cfRule>
  </conditionalFormatting>
  <conditionalFormatting sqref="T33:T37">
    <cfRule type="expression" dxfId="1241" priority="1191" stopIfTrue="1">
      <formula>$A33&lt;1</formula>
    </cfRule>
  </conditionalFormatting>
  <conditionalFormatting sqref="T27:T45">
    <cfRule type="expression" dxfId="1240" priority="1190" stopIfTrue="1">
      <formula>$A27&lt;1</formula>
    </cfRule>
  </conditionalFormatting>
  <conditionalFormatting sqref="T33:T37">
    <cfRule type="expression" dxfId="1239" priority="1189" stopIfTrue="1">
      <formula>$A33&lt;1</formula>
    </cfRule>
  </conditionalFormatting>
  <conditionalFormatting sqref="T27:T45">
    <cfRule type="expression" dxfId="1238" priority="1188" stopIfTrue="1">
      <formula>$A27&lt;1</formula>
    </cfRule>
  </conditionalFormatting>
  <conditionalFormatting sqref="T33:T37">
    <cfRule type="expression" dxfId="1237" priority="1187" stopIfTrue="1">
      <formula>$A33&lt;1</formula>
    </cfRule>
  </conditionalFormatting>
  <conditionalFormatting sqref="T27:T45">
    <cfRule type="expression" dxfId="1236" priority="1186" stopIfTrue="1">
      <formula>$A27&lt;1</formula>
    </cfRule>
  </conditionalFormatting>
  <conditionalFormatting sqref="T33:T37">
    <cfRule type="expression" dxfId="1235" priority="1185" stopIfTrue="1">
      <formula>$A33&lt;1</formula>
    </cfRule>
  </conditionalFormatting>
  <conditionalFormatting sqref="T27:T45">
    <cfRule type="expression" dxfId="1234" priority="1184" stopIfTrue="1">
      <formula>$A27&lt;1</formula>
    </cfRule>
  </conditionalFormatting>
  <conditionalFormatting sqref="T33:T37">
    <cfRule type="expression" dxfId="1233" priority="1183" stopIfTrue="1">
      <formula>$A33&lt;1</formula>
    </cfRule>
  </conditionalFormatting>
  <conditionalFormatting sqref="T27:T45">
    <cfRule type="expression" dxfId="1232" priority="1182" stopIfTrue="1">
      <formula>$A27&lt;1</formula>
    </cfRule>
  </conditionalFormatting>
  <conditionalFormatting sqref="T33:T37">
    <cfRule type="expression" dxfId="1231" priority="1181" stopIfTrue="1">
      <formula>$A33&lt;1</formula>
    </cfRule>
  </conditionalFormatting>
  <conditionalFormatting sqref="T27:T45">
    <cfRule type="expression" dxfId="1230" priority="1180" stopIfTrue="1">
      <formula>$A27&lt;1</formula>
    </cfRule>
  </conditionalFormatting>
  <conditionalFormatting sqref="T33:T37">
    <cfRule type="expression" dxfId="1229" priority="1179" stopIfTrue="1">
      <formula>$A33&lt;1</formula>
    </cfRule>
  </conditionalFormatting>
  <conditionalFormatting sqref="T27:T45">
    <cfRule type="expression" dxfId="1228" priority="1178" stopIfTrue="1">
      <formula>$A27&lt;1</formula>
    </cfRule>
  </conditionalFormatting>
  <conditionalFormatting sqref="T33:T37">
    <cfRule type="expression" dxfId="1227" priority="1177" stopIfTrue="1">
      <formula>$A33&lt;1</formula>
    </cfRule>
  </conditionalFormatting>
  <conditionalFormatting sqref="T27:T45">
    <cfRule type="expression" dxfId="1226" priority="1176" stopIfTrue="1">
      <formula>$A27&lt;1</formula>
    </cfRule>
  </conditionalFormatting>
  <conditionalFormatting sqref="T33:T37">
    <cfRule type="expression" dxfId="1225" priority="1175" stopIfTrue="1">
      <formula>$A33&lt;1</formula>
    </cfRule>
  </conditionalFormatting>
  <conditionalFormatting sqref="T27:T45">
    <cfRule type="expression" dxfId="1224" priority="1174" stopIfTrue="1">
      <formula>$A27&lt;1</formula>
    </cfRule>
  </conditionalFormatting>
  <conditionalFormatting sqref="T33:T37">
    <cfRule type="expression" dxfId="1223" priority="1173" stopIfTrue="1">
      <formula>$A33&lt;1</formula>
    </cfRule>
  </conditionalFormatting>
  <conditionalFormatting sqref="T27:T45">
    <cfRule type="expression" dxfId="1222" priority="1172" stopIfTrue="1">
      <formula>$A27&lt;1</formula>
    </cfRule>
  </conditionalFormatting>
  <conditionalFormatting sqref="T33:T37">
    <cfRule type="expression" dxfId="1221" priority="1171" stopIfTrue="1">
      <formula>$A33&lt;1</formula>
    </cfRule>
  </conditionalFormatting>
  <conditionalFormatting sqref="T27:T45">
    <cfRule type="expression" dxfId="1220" priority="1170" stopIfTrue="1">
      <formula>$A27&lt;1</formula>
    </cfRule>
  </conditionalFormatting>
  <conditionalFormatting sqref="T33:T37">
    <cfRule type="expression" dxfId="1219" priority="1169" stopIfTrue="1">
      <formula>$A33&lt;1</formula>
    </cfRule>
  </conditionalFormatting>
  <conditionalFormatting sqref="T27:T45">
    <cfRule type="expression" dxfId="1218" priority="1168" stopIfTrue="1">
      <formula>$A27&lt;1</formula>
    </cfRule>
  </conditionalFormatting>
  <conditionalFormatting sqref="T33:T37">
    <cfRule type="expression" dxfId="1217" priority="1167" stopIfTrue="1">
      <formula>$A33&lt;1</formula>
    </cfRule>
  </conditionalFormatting>
  <conditionalFormatting sqref="T27:T45">
    <cfRule type="expression" dxfId="1216" priority="1166" stopIfTrue="1">
      <formula>$A27&lt;1</formula>
    </cfRule>
  </conditionalFormatting>
  <conditionalFormatting sqref="T33:T37">
    <cfRule type="expression" dxfId="1215" priority="1165" stopIfTrue="1">
      <formula>$A33&lt;1</formula>
    </cfRule>
  </conditionalFormatting>
  <conditionalFormatting sqref="T27:T45">
    <cfRule type="expression" dxfId="1214" priority="1164" stopIfTrue="1">
      <formula>$A27&lt;1</formula>
    </cfRule>
  </conditionalFormatting>
  <conditionalFormatting sqref="T33:T37">
    <cfRule type="expression" dxfId="1213" priority="1163" stopIfTrue="1">
      <formula>$A33&lt;1</formula>
    </cfRule>
  </conditionalFormatting>
  <conditionalFormatting sqref="T27:T45">
    <cfRule type="expression" dxfId="1212" priority="1162" stopIfTrue="1">
      <formula>$A27&lt;1</formula>
    </cfRule>
  </conditionalFormatting>
  <conditionalFormatting sqref="T33:T37">
    <cfRule type="expression" dxfId="1211" priority="1161" stopIfTrue="1">
      <formula>$A33&lt;1</formula>
    </cfRule>
  </conditionalFormatting>
  <conditionalFormatting sqref="T27:T45">
    <cfRule type="expression" dxfId="1210" priority="1160" stopIfTrue="1">
      <formula>$A27&lt;1</formula>
    </cfRule>
  </conditionalFormatting>
  <conditionalFormatting sqref="T33:T37">
    <cfRule type="expression" dxfId="1209" priority="1159" stopIfTrue="1">
      <formula>$A33&lt;1</formula>
    </cfRule>
  </conditionalFormatting>
  <conditionalFormatting sqref="T27:T45">
    <cfRule type="expression" dxfId="1208" priority="1158" stopIfTrue="1">
      <formula>$A27&lt;1</formula>
    </cfRule>
  </conditionalFormatting>
  <conditionalFormatting sqref="T33:T37">
    <cfRule type="expression" dxfId="1207" priority="1157" stopIfTrue="1">
      <formula>$A33&lt;1</formula>
    </cfRule>
  </conditionalFormatting>
  <conditionalFormatting sqref="T27:T45">
    <cfRule type="expression" dxfId="1206" priority="1156" stopIfTrue="1">
      <formula>$A27&lt;1</formula>
    </cfRule>
  </conditionalFormatting>
  <conditionalFormatting sqref="T33:T37">
    <cfRule type="expression" dxfId="1205" priority="1155" stopIfTrue="1">
      <formula>$A33&lt;1</formula>
    </cfRule>
  </conditionalFormatting>
  <conditionalFormatting sqref="T27:T45">
    <cfRule type="expression" dxfId="1204" priority="1154" stopIfTrue="1">
      <formula>$A27&lt;1</formula>
    </cfRule>
  </conditionalFormatting>
  <conditionalFormatting sqref="T33:T37">
    <cfRule type="expression" dxfId="1203" priority="1153" stopIfTrue="1">
      <formula>$A33&lt;1</formula>
    </cfRule>
  </conditionalFormatting>
  <conditionalFormatting sqref="T27:T45">
    <cfRule type="expression" dxfId="1202" priority="1152" stopIfTrue="1">
      <formula>$A27&lt;1</formula>
    </cfRule>
  </conditionalFormatting>
  <conditionalFormatting sqref="T33:T37">
    <cfRule type="expression" dxfId="1201" priority="1151" stopIfTrue="1">
      <formula>$A33&lt;1</formula>
    </cfRule>
  </conditionalFormatting>
  <conditionalFormatting sqref="T27:T45">
    <cfRule type="expression" dxfId="1200" priority="1150" stopIfTrue="1">
      <formula>$A27&lt;1</formula>
    </cfRule>
  </conditionalFormatting>
  <conditionalFormatting sqref="T33:T37">
    <cfRule type="expression" dxfId="1199" priority="1149" stopIfTrue="1">
      <formula>$A33&lt;1</formula>
    </cfRule>
  </conditionalFormatting>
  <conditionalFormatting sqref="T27:T45">
    <cfRule type="expression" dxfId="1198" priority="1148" stopIfTrue="1">
      <formula>$A27&lt;1</formula>
    </cfRule>
  </conditionalFormatting>
  <conditionalFormatting sqref="T33:T37">
    <cfRule type="expression" dxfId="1197" priority="1147" stopIfTrue="1">
      <formula>$A33&lt;1</formula>
    </cfRule>
  </conditionalFormatting>
  <conditionalFormatting sqref="T27:T45">
    <cfRule type="expression" dxfId="1196" priority="1146" stopIfTrue="1">
      <formula>$A27&lt;1</formula>
    </cfRule>
  </conditionalFormatting>
  <conditionalFormatting sqref="T33:T37">
    <cfRule type="expression" dxfId="1195" priority="1145" stopIfTrue="1">
      <formula>$A33&lt;1</formula>
    </cfRule>
  </conditionalFormatting>
  <conditionalFormatting sqref="T27:T45">
    <cfRule type="expression" dxfId="1194" priority="1144" stopIfTrue="1">
      <formula>$A27&lt;1</formula>
    </cfRule>
  </conditionalFormatting>
  <conditionalFormatting sqref="T33:T37">
    <cfRule type="expression" dxfId="1193" priority="1143" stopIfTrue="1">
      <formula>$A33&lt;1</formula>
    </cfRule>
  </conditionalFormatting>
  <conditionalFormatting sqref="T27:T45">
    <cfRule type="expression" dxfId="1192" priority="1142" stopIfTrue="1">
      <formula>$A27&lt;1</formula>
    </cfRule>
  </conditionalFormatting>
  <conditionalFormatting sqref="T33:T37">
    <cfRule type="expression" dxfId="1191" priority="1141" stopIfTrue="1">
      <formula>$A33&lt;1</formula>
    </cfRule>
  </conditionalFormatting>
  <conditionalFormatting sqref="T27:T45">
    <cfRule type="expression" dxfId="1190" priority="1140" stopIfTrue="1">
      <formula>$A27&lt;1</formula>
    </cfRule>
  </conditionalFormatting>
  <conditionalFormatting sqref="T33:T37">
    <cfRule type="expression" dxfId="1189" priority="1139" stopIfTrue="1">
      <formula>$A33&lt;1</formula>
    </cfRule>
  </conditionalFormatting>
  <conditionalFormatting sqref="T27:T45">
    <cfRule type="expression" dxfId="1188" priority="1138" stopIfTrue="1">
      <formula>$A27&lt;1</formula>
    </cfRule>
  </conditionalFormatting>
  <conditionalFormatting sqref="T33:T37">
    <cfRule type="expression" dxfId="1187" priority="1137" stopIfTrue="1">
      <formula>$A33&lt;1</formula>
    </cfRule>
  </conditionalFormatting>
  <conditionalFormatting sqref="T27:T45">
    <cfRule type="expression" dxfId="1186" priority="1136" stopIfTrue="1">
      <formula>$A27&lt;1</formula>
    </cfRule>
  </conditionalFormatting>
  <conditionalFormatting sqref="T33:T37">
    <cfRule type="expression" dxfId="1185" priority="1135" stopIfTrue="1">
      <formula>$A33&lt;1</formula>
    </cfRule>
  </conditionalFormatting>
  <conditionalFormatting sqref="T27:T45">
    <cfRule type="expression" dxfId="1184" priority="1134" stopIfTrue="1">
      <formula>$A27&lt;1</formula>
    </cfRule>
  </conditionalFormatting>
  <conditionalFormatting sqref="T33:T37">
    <cfRule type="expression" dxfId="1183" priority="1133" stopIfTrue="1">
      <formula>$A33&lt;1</formula>
    </cfRule>
  </conditionalFormatting>
  <conditionalFormatting sqref="T27:T45">
    <cfRule type="expression" dxfId="1182" priority="1132" stopIfTrue="1">
      <formula>$A27&lt;1</formula>
    </cfRule>
  </conditionalFormatting>
  <conditionalFormatting sqref="T33:T37">
    <cfRule type="expression" dxfId="1181" priority="1131" stopIfTrue="1">
      <formula>$A33&lt;1</formula>
    </cfRule>
  </conditionalFormatting>
  <conditionalFormatting sqref="T27:T45">
    <cfRule type="expression" dxfId="1180" priority="1130" stopIfTrue="1">
      <formula>$A27&lt;1</formula>
    </cfRule>
  </conditionalFormatting>
  <conditionalFormatting sqref="T33:T37">
    <cfRule type="expression" dxfId="1179" priority="1129" stopIfTrue="1">
      <formula>$A33&lt;1</formula>
    </cfRule>
  </conditionalFormatting>
  <conditionalFormatting sqref="T27:T45">
    <cfRule type="expression" dxfId="1178" priority="1128" stopIfTrue="1">
      <formula>$A27&lt;1</formula>
    </cfRule>
  </conditionalFormatting>
  <conditionalFormatting sqref="T33:T37">
    <cfRule type="expression" dxfId="1177" priority="1127" stopIfTrue="1">
      <formula>$A33&lt;1</formula>
    </cfRule>
  </conditionalFormatting>
  <conditionalFormatting sqref="T27:T45">
    <cfRule type="expression" dxfId="1176" priority="1126" stopIfTrue="1">
      <formula>$A27&lt;1</formula>
    </cfRule>
  </conditionalFormatting>
  <conditionalFormatting sqref="T33:T37">
    <cfRule type="expression" dxfId="1175" priority="1125" stopIfTrue="1">
      <formula>$A33&lt;1</formula>
    </cfRule>
  </conditionalFormatting>
  <conditionalFormatting sqref="T27:T45">
    <cfRule type="expression" dxfId="1174" priority="1124" stopIfTrue="1">
      <formula>$A27&lt;1</formula>
    </cfRule>
  </conditionalFormatting>
  <conditionalFormatting sqref="T33:T37">
    <cfRule type="expression" dxfId="1173" priority="1123" stopIfTrue="1">
      <formula>$A33&lt;1</formula>
    </cfRule>
  </conditionalFormatting>
  <conditionalFormatting sqref="T27:T45">
    <cfRule type="expression" dxfId="1172" priority="1122" stopIfTrue="1">
      <formula>$A27&lt;1</formula>
    </cfRule>
  </conditionalFormatting>
  <conditionalFormatting sqref="T33:T37">
    <cfRule type="expression" dxfId="1171" priority="1121" stopIfTrue="1">
      <formula>$A33&lt;1</formula>
    </cfRule>
  </conditionalFormatting>
  <conditionalFormatting sqref="T27:T45">
    <cfRule type="expression" dxfId="1170" priority="1120" stopIfTrue="1">
      <formula>$A27&lt;1</formula>
    </cfRule>
  </conditionalFormatting>
  <conditionalFormatting sqref="T33:T37">
    <cfRule type="expression" dxfId="1169" priority="1119" stopIfTrue="1">
      <formula>$A33&lt;1</formula>
    </cfRule>
  </conditionalFormatting>
  <conditionalFormatting sqref="T27:T45">
    <cfRule type="expression" dxfId="1168" priority="1118" stopIfTrue="1">
      <formula>$A27&lt;1</formula>
    </cfRule>
  </conditionalFormatting>
  <conditionalFormatting sqref="T33:T37">
    <cfRule type="expression" dxfId="1167" priority="1117" stopIfTrue="1">
      <formula>$A33&lt;1</formula>
    </cfRule>
  </conditionalFormatting>
  <conditionalFormatting sqref="T27:T45">
    <cfRule type="expression" dxfId="1166" priority="1116" stopIfTrue="1">
      <formula>$A27&lt;1</formula>
    </cfRule>
  </conditionalFormatting>
  <conditionalFormatting sqref="T33:T37">
    <cfRule type="expression" dxfId="1165" priority="1115" stopIfTrue="1">
      <formula>$A33&lt;1</formula>
    </cfRule>
  </conditionalFormatting>
  <conditionalFormatting sqref="T27:T45">
    <cfRule type="expression" dxfId="1164" priority="1114" stopIfTrue="1">
      <formula>$A27&lt;1</formula>
    </cfRule>
  </conditionalFormatting>
  <conditionalFormatting sqref="T33:T37">
    <cfRule type="expression" dxfId="1163" priority="1113" stopIfTrue="1">
      <formula>$A33&lt;1</formula>
    </cfRule>
  </conditionalFormatting>
  <conditionalFormatting sqref="T27:T45">
    <cfRule type="expression" dxfId="1162" priority="1112" stopIfTrue="1">
      <formula>$A27&lt;1</formula>
    </cfRule>
  </conditionalFormatting>
  <conditionalFormatting sqref="T33:T37">
    <cfRule type="expression" dxfId="1161" priority="1111" stopIfTrue="1">
      <formula>$A33&lt;1</formula>
    </cfRule>
  </conditionalFormatting>
  <conditionalFormatting sqref="T27:T45">
    <cfRule type="expression" dxfId="1160" priority="1110" stopIfTrue="1">
      <formula>$A27&lt;1</formula>
    </cfRule>
  </conditionalFormatting>
  <conditionalFormatting sqref="T33:T37">
    <cfRule type="expression" dxfId="1159" priority="1109" stopIfTrue="1">
      <formula>$A33&lt;1</formula>
    </cfRule>
  </conditionalFormatting>
  <conditionalFormatting sqref="T27:T45">
    <cfRule type="expression" dxfId="1158" priority="1108" stopIfTrue="1">
      <formula>$A27&lt;1</formula>
    </cfRule>
  </conditionalFormatting>
  <conditionalFormatting sqref="T33:T37">
    <cfRule type="expression" dxfId="1157" priority="1107" stopIfTrue="1">
      <formula>$A33&lt;1</formula>
    </cfRule>
  </conditionalFormatting>
  <conditionalFormatting sqref="T27:T45">
    <cfRule type="expression" dxfId="1156" priority="1106" stopIfTrue="1">
      <formula>$A27&lt;1</formula>
    </cfRule>
  </conditionalFormatting>
  <conditionalFormatting sqref="T33:T37">
    <cfRule type="expression" dxfId="1155" priority="1105" stopIfTrue="1">
      <formula>$A33&lt;1</formula>
    </cfRule>
  </conditionalFormatting>
  <conditionalFormatting sqref="T27:T45">
    <cfRule type="expression" dxfId="1154" priority="1104" stopIfTrue="1">
      <formula>$A27&lt;1</formula>
    </cfRule>
  </conditionalFormatting>
  <conditionalFormatting sqref="T33:T37">
    <cfRule type="expression" dxfId="1153" priority="1103" stopIfTrue="1">
      <formula>$A33&lt;1</formula>
    </cfRule>
  </conditionalFormatting>
  <conditionalFormatting sqref="T27:T45">
    <cfRule type="expression" dxfId="1152" priority="1102" stopIfTrue="1">
      <formula>$A27&lt;1</formula>
    </cfRule>
  </conditionalFormatting>
  <conditionalFormatting sqref="T33:T37">
    <cfRule type="expression" dxfId="1151" priority="1101" stopIfTrue="1">
      <formula>$A33&lt;1</formula>
    </cfRule>
  </conditionalFormatting>
  <conditionalFormatting sqref="T27:T45">
    <cfRule type="expression" dxfId="1150" priority="1100" stopIfTrue="1">
      <formula>$A27&lt;1</formula>
    </cfRule>
  </conditionalFormatting>
  <conditionalFormatting sqref="T33:T37">
    <cfRule type="expression" dxfId="1149" priority="1099" stopIfTrue="1">
      <formula>$A33&lt;1</formula>
    </cfRule>
  </conditionalFormatting>
  <conditionalFormatting sqref="T27:T45">
    <cfRule type="expression" dxfId="1148" priority="1098" stopIfTrue="1">
      <formula>$A27&lt;1</formula>
    </cfRule>
  </conditionalFormatting>
  <conditionalFormatting sqref="T33:T37">
    <cfRule type="expression" dxfId="1147" priority="1097" stopIfTrue="1">
      <formula>$A33&lt;1</formula>
    </cfRule>
  </conditionalFormatting>
  <conditionalFormatting sqref="T27:T45">
    <cfRule type="expression" dxfId="1146" priority="1096" stopIfTrue="1">
      <formula>$A27&lt;1</formula>
    </cfRule>
  </conditionalFormatting>
  <conditionalFormatting sqref="T33:T37">
    <cfRule type="expression" dxfId="1145" priority="1095" stopIfTrue="1">
      <formula>$A33&lt;1</formula>
    </cfRule>
  </conditionalFormatting>
  <conditionalFormatting sqref="T27:T45">
    <cfRule type="expression" dxfId="1144" priority="1094" stopIfTrue="1">
      <formula>$A27&lt;1</formula>
    </cfRule>
  </conditionalFormatting>
  <conditionalFormatting sqref="T33:T37">
    <cfRule type="expression" dxfId="1143" priority="1093" stopIfTrue="1">
      <formula>$A33&lt;1</formula>
    </cfRule>
  </conditionalFormatting>
  <conditionalFormatting sqref="T27:T45">
    <cfRule type="expression" dxfId="1142" priority="1092" stopIfTrue="1">
      <formula>$A27&lt;1</formula>
    </cfRule>
  </conditionalFormatting>
  <conditionalFormatting sqref="T33:T37">
    <cfRule type="expression" dxfId="1141" priority="1091" stopIfTrue="1">
      <formula>$A33&lt;1</formula>
    </cfRule>
  </conditionalFormatting>
  <conditionalFormatting sqref="T27:T45">
    <cfRule type="expression" dxfId="1140" priority="1090" stopIfTrue="1">
      <formula>$A27&lt;1</formula>
    </cfRule>
  </conditionalFormatting>
  <conditionalFormatting sqref="T33:T37">
    <cfRule type="expression" dxfId="1139" priority="1089" stopIfTrue="1">
      <formula>$A33&lt;1</formula>
    </cfRule>
  </conditionalFormatting>
  <conditionalFormatting sqref="T27:T45">
    <cfRule type="expression" dxfId="1138" priority="1088" stopIfTrue="1">
      <formula>$A27&lt;1</formula>
    </cfRule>
  </conditionalFormatting>
  <conditionalFormatting sqref="T33:T37">
    <cfRule type="expression" dxfId="1137" priority="1087" stopIfTrue="1">
      <formula>$A33&lt;1</formula>
    </cfRule>
  </conditionalFormatting>
  <conditionalFormatting sqref="T27:T45">
    <cfRule type="expression" dxfId="1136" priority="1086" stopIfTrue="1">
      <formula>$A27&lt;1</formula>
    </cfRule>
  </conditionalFormatting>
  <conditionalFormatting sqref="T33:T37">
    <cfRule type="expression" dxfId="1135" priority="1085" stopIfTrue="1">
      <formula>$A33&lt;1</formula>
    </cfRule>
  </conditionalFormatting>
  <conditionalFormatting sqref="T27:T45">
    <cfRule type="expression" dxfId="1134" priority="1084" stopIfTrue="1">
      <formula>$A27&lt;1</formula>
    </cfRule>
  </conditionalFormatting>
  <conditionalFormatting sqref="T33:T37">
    <cfRule type="expression" dxfId="1133" priority="1083" stopIfTrue="1">
      <formula>$A33&lt;1</formula>
    </cfRule>
  </conditionalFormatting>
  <conditionalFormatting sqref="T27:T45">
    <cfRule type="expression" dxfId="1132" priority="1082" stopIfTrue="1">
      <formula>$A27&lt;1</formula>
    </cfRule>
  </conditionalFormatting>
  <conditionalFormatting sqref="T33:T37">
    <cfRule type="expression" dxfId="1131" priority="1081" stopIfTrue="1">
      <formula>$A33&lt;1</formula>
    </cfRule>
  </conditionalFormatting>
  <conditionalFormatting sqref="T27:T45">
    <cfRule type="expression" dxfId="1130" priority="1080" stopIfTrue="1">
      <formula>$A27&lt;1</formula>
    </cfRule>
  </conditionalFormatting>
  <conditionalFormatting sqref="T33:T37">
    <cfRule type="expression" dxfId="1129" priority="1079" stopIfTrue="1">
      <formula>$A33&lt;1</formula>
    </cfRule>
  </conditionalFormatting>
  <conditionalFormatting sqref="T27:T45">
    <cfRule type="expression" dxfId="1128" priority="1078" stopIfTrue="1">
      <formula>$A27&lt;1</formula>
    </cfRule>
  </conditionalFormatting>
  <conditionalFormatting sqref="T33:T37">
    <cfRule type="expression" dxfId="1127" priority="1077" stopIfTrue="1">
      <formula>$A33&lt;1</formula>
    </cfRule>
  </conditionalFormatting>
  <conditionalFormatting sqref="T27:T45">
    <cfRule type="expression" dxfId="1126" priority="1076" stopIfTrue="1">
      <formula>$A27&lt;1</formula>
    </cfRule>
  </conditionalFormatting>
  <conditionalFormatting sqref="T33:T37">
    <cfRule type="expression" dxfId="1125" priority="1075" stopIfTrue="1">
      <formula>$A33&lt;1</formula>
    </cfRule>
  </conditionalFormatting>
  <conditionalFormatting sqref="T27:T45">
    <cfRule type="expression" dxfId="1124" priority="1074" stopIfTrue="1">
      <formula>$A27&lt;1</formula>
    </cfRule>
  </conditionalFormatting>
  <conditionalFormatting sqref="T33:T37">
    <cfRule type="expression" dxfId="1123" priority="1073" stopIfTrue="1">
      <formula>$A33&lt;1</formula>
    </cfRule>
  </conditionalFormatting>
  <conditionalFormatting sqref="T27:T45">
    <cfRule type="expression" dxfId="1122" priority="1072" stopIfTrue="1">
      <formula>$A27&lt;1</formula>
    </cfRule>
  </conditionalFormatting>
  <conditionalFormatting sqref="T33:T37">
    <cfRule type="expression" dxfId="1121" priority="1071" stopIfTrue="1">
      <formula>$A33&lt;1</formula>
    </cfRule>
  </conditionalFormatting>
  <conditionalFormatting sqref="T27:T45">
    <cfRule type="expression" dxfId="1120" priority="1070" stopIfTrue="1">
      <formula>$A27&lt;1</formula>
    </cfRule>
  </conditionalFormatting>
  <conditionalFormatting sqref="T33:T37">
    <cfRule type="expression" dxfId="1119" priority="1069" stopIfTrue="1">
      <formula>$A33&lt;1</formula>
    </cfRule>
  </conditionalFormatting>
  <conditionalFormatting sqref="T27:T45">
    <cfRule type="expression" dxfId="1118" priority="1068" stopIfTrue="1">
      <formula>$A27&lt;1</formula>
    </cfRule>
  </conditionalFormatting>
  <conditionalFormatting sqref="T33:T37">
    <cfRule type="expression" dxfId="1117" priority="1067" stopIfTrue="1">
      <formula>$A33&lt;1</formula>
    </cfRule>
  </conditionalFormatting>
  <conditionalFormatting sqref="T27:T45">
    <cfRule type="expression" dxfId="1116" priority="1066" stopIfTrue="1">
      <formula>$A27&lt;1</formula>
    </cfRule>
  </conditionalFormatting>
  <conditionalFormatting sqref="T33:T37">
    <cfRule type="expression" dxfId="1115" priority="1065" stopIfTrue="1">
      <formula>$A33&lt;1</formula>
    </cfRule>
  </conditionalFormatting>
  <conditionalFormatting sqref="T27:T45">
    <cfRule type="expression" dxfId="1114" priority="1064" stopIfTrue="1">
      <formula>$A27&lt;1</formula>
    </cfRule>
  </conditionalFormatting>
  <conditionalFormatting sqref="T33:T37">
    <cfRule type="expression" dxfId="1113" priority="1063" stopIfTrue="1">
      <formula>$A33&lt;1</formula>
    </cfRule>
  </conditionalFormatting>
  <conditionalFormatting sqref="T27:T45">
    <cfRule type="expression" dxfId="1112" priority="1062" stopIfTrue="1">
      <formula>$A27&lt;1</formula>
    </cfRule>
  </conditionalFormatting>
  <conditionalFormatting sqref="T33:T37">
    <cfRule type="expression" dxfId="1111" priority="1061" stopIfTrue="1">
      <formula>$A33&lt;1</formula>
    </cfRule>
  </conditionalFormatting>
  <conditionalFormatting sqref="T27:T45">
    <cfRule type="expression" dxfId="1110" priority="1060" stopIfTrue="1">
      <formula>$A27&lt;1</formula>
    </cfRule>
  </conditionalFormatting>
  <conditionalFormatting sqref="T33:T37">
    <cfRule type="expression" dxfId="1109" priority="1059" stopIfTrue="1">
      <formula>$A33&lt;1</formula>
    </cfRule>
  </conditionalFormatting>
  <conditionalFormatting sqref="T27:T45">
    <cfRule type="expression" dxfId="1108" priority="1058" stopIfTrue="1">
      <formula>$A27&lt;1</formula>
    </cfRule>
  </conditionalFormatting>
  <conditionalFormatting sqref="T33:T37">
    <cfRule type="expression" dxfId="1107" priority="1057" stopIfTrue="1">
      <formula>$A33&lt;1</formula>
    </cfRule>
  </conditionalFormatting>
  <conditionalFormatting sqref="T27:T45">
    <cfRule type="expression" dxfId="1106" priority="1056" stopIfTrue="1">
      <formula>$A27&lt;1</formula>
    </cfRule>
  </conditionalFormatting>
  <conditionalFormatting sqref="T33:T37">
    <cfRule type="expression" dxfId="1105" priority="1055" stopIfTrue="1">
      <formula>$A33&lt;1</formula>
    </cfRule>
  </conditionalFormatting>
  <conditionalFormatting sqref="T27:T45">
    <cfRule type="expression" dxfId="1104" priority="1054" stopIfTrue="1">
      <formula>$A27&lt;1</formula>
    </cfRule>
  </conditionalFormatting>
  <conditionalFormatting sqref="T33:T37">
    <cfRule type="expression" dxfId="1103" priority="1053" stopIfTrue="1">
      <formula>$A33&lt;1</formula>
    </cfRule>
  </conditionalFormatting>
  <conditionalFormatting sqref="T27:T45">
    <cfRule type="expression" dxfId="1102" priority="1052" stopIfTrue="1">
      <formula>$A27&lt;1</formula>
    </cfRule>
  </conditionalFormatting>
  <conditionalFormatting sqref="T33:T37">
    <cfRule type="expression" dxfId="1101" priority="1051" stopIfTrue="1">
      <formula>$A33&lt;1</formula>
    </cfRule>
  </conditionalFormatting>
  <conditionalFormatting sqref="T27:T45">
    <cfRule type="expression" dxfId="1100" priority="1050" stopIfTrue="1">
      <formula>$A27&lt;1</formula>
    </cfRule>
  </conditionalFormatting>
  <conditionalFormatting sqref="T33:T37">
    <cfRule type="expression" dxfId="1099" priority="1049" stopIfTrue="1">
      <formula>$A33&lt;1</formula>
    </cfRule>
  </conditionalFormatting>
  <conditionalFormatting sqref="T27:T45">
    <cfRule type="expression" dxfId="1098" priority="1048" stopIfTrue="1">
      <formula>$A27&lt;1</formula>
    </cfRule>
  </conditionalFormatting>
  <conditionalFormatting sqref="T33:T37">
    <cfRule type="expression" dxfId="1097" priority="1047" stopIfTrue="1">
      <formula>$A33&lt;1</formula>
    </cfRule>
  </conditionalFormatting>
  <conditionalFormatting sqref="T27:T45">
    <cfRule type="expression" dxfId="1096" priority="1046" stopIfTrue="1">
      <formula>$A27&lt;1</formula>
    </cfRule>
  </conditionalFormatting>
  <conditionalFormatting sqref="T33:T37">
    <cfRule type="expression" dxfId="1095" priority="1045" stopIfTrue="1">
      <formula>$A33&lt;1</formula>
    </cfRule>
  </conditionalFormatting>
  <conditionalFormatting sqref="T27:T45">
    <cfRule type="expression" dxfId="1094" priority="1044" stopIfTrue="1">
      <formula>$A27&lt;1</formula>
    </cfRule>
  </conditionalFormatting>
  <conditionalFormatting sqref="T33:T37">
    <cfRule type="expression" dxfId="1093" priority="1043" stopIfTrue="1">
      <formula>$A33&lt;1</formula>
    </cfRule>
  </conditionalFormatting>
  <conditionalFormatting sqref="T27:T45">
    <cfRule type="expression" dxfId="1092" priority="1042" stopIfTrue="1">
      <formula>$A27&lt;1</formula>
    </cfRule>
  </conditionalFormatting>
  <conditionalFormatting sqref="T33:T37">
    <cfRule type="expression" dxfId="1091" priority="1041" stopIfTrue="1">
      <formula>$A33&lt;1</formula>
    </cfRule>
  </conditionalFormatting>
  <conditionalFormatting sqref="T27:T45">
    <cfRule type="expression" dxfId="1090" priority="1040" stopIfTrue="1">
      <formula>$A27&lt;1</formula>
    </cfRule>
  </conditionalFormatting>
  <conditionalFormatting sqref="T33:T37">
    <cfRule type="expression" dxfId="1089" priority="1039" stopIfTrue="1">
      <formula>$A33&lt;1</formula>
    </cfRule>
  </conditionalFormatting>
  <conditionalFormatting sqref="T27:T45">
    <cfRule type="expression" dxfId="1088" priority="1038" stopIfTrue="1">
      <formula>$A27&lt;1</formula>
    </cfRule>
  </conditionalFormatting>
  <conditionalFormatting sqref="T33:T37">
    <cfRule type="expression" dxfId="1087" priority="1037" stopIfTrue="1">
      <formula>$A33&lt;1</formula>
    </cfRule>
  </conditionalFormatting>
  <conditionalFormatting sqref="T27:T45">
    <cfRule type="expression" dxfId="1086" priority="1036" stopIfTrue="1">
      <formula>$A27&lt;1</formula>
    </cfRule>
  </conditionalFormatting>
  <conditionalFormatting sqref="T33:T37">
    <cfRule type="expression" dxfId="1085" priority="1035" stopIfTrue="1">
      <formula>$A33&lt;1</formula>
    </cfRule>
  </conditionalFormatting>
  <conditionalFormatting sqref="T27:T45">
    <cfRule type="expression" dxfId="1084" priority="1034" stopIfTrue="1">
      <formula>$A27&lt;1</formula>
    </cfRule>
  </conditionalFormatting>
  <conditionalFormatting sqref="T33:T37">
    <cfRule type="expression" dxfId="1083" priority="1033" stopIfTrue="1">
      <formula>$A33&lt;1</formula>
    </cfRule>
  </conditionalFormatting>
  <conditionalFormatting sqref="T27:T45">
    <cfRule type="expression" dxfId="1082" priority="1032" stopIfTrue="1">
      <formula>$A27&lt;1</formula>
    </cfRule>
  </conditionalFormatting>
  <conditionalFormatting sqref="T33:T37">
    <cfRule type="expression" dxfId="1081" priority="1031" stopIfTrue="1">
      <formula>$A33&lt;1</formula>
    </cfRule>
  </conditionalFormatting>
  <conditionalFormatting sqref="T27:T45">
    <cfRule type="expression" dxfId="1080" priority="1030" stopIfTrue="1">
      <formula>$A27&lt;1</formula>
    </cfRule>
  </conditionalFormatting>
  <conditionalFormatting sqref="T33:T37">
    <cfRule type="expression" dxfId="1079" priority="1029" stopIfTrue="1">
      <formula>$A33&lt;1</formula>
    </cfRule>
  </conditionalFormatting>
  <conditionalFormatting sqref="T27:T45">
    <cfRule type="expression" dxfId="1078" priority="1028" stopIfTrue="1">
      <formula>$A27&lt;1</formula>
    </cfRule>
  </conditionalFormatting>
  <conditionalFormatting sqref="T33:T37">
    <cfRule type="expression" dxfId="1077" priority="1027" stopIfTrue="1">
      <formula>$A33&lt;1</formula>
    </cfRule>
  </conditionalFormatting>
  <conditionalFormatting sqref="T27:T45">
    <cfRule type="expression" dxfId="1076" priority="1026" stopIfTrue="1">
      <formula>$A27&lt;1</formula>
    </cfRule>
  </conditionalFormatting>
  <conditionalFormatting sqref="T33:T37">
    <cfRule type="expression" dxfId="1075" priority="1025" stopIfTrue="1">
      <formula>$A33&lt;1</formula>
    </cfRule>
  </conditionalFormatting>
  <conditionalFormatting sqref="T27:T45">
    <cfRule type="expression" dxfId="1074" priority="1024" stopIfTrue="1">
      <formula>$A27&lt;1</formula>
    </cfRule>
  </conditionalFormatting>
  <conditionalFormatting sqref="T33:T37">
    <cfRule type="expression" dxfId="1073" priority="1023" stopIfTrue="1">
      <formula>$A33&lt;1</formula>
    </cfRule>
  </conditionalFormatting>
  <conditionalFormatting sqref="T27:T45">
    <cfRule type="expression" dxfId="1072" priority="1022" stopIfTrue="1">
      <formula>$A27&lt;1</formula>
    </cfRule>
  </conditionalFormatting>
  <conditionalFormatting sqref="T33:T37">
    <cfRule type="expression" dxfId="1071" priority="1021" stopIfTrue="1">
      <formula>$A33&lt;1</formula>
    </cfRule>
  </conditionalFormatting>
  <conditionalFormatting sqref="T27:T45">
    <cfRule type="expression" dxfId="1070" priority="1020" stopIfTrue="1">
      <formula>$A27&lt;1</formula>
    </cfRule>
  </conditionalFormatting>
  <conditionalFormatting sqref="T33:T37">
    <cfRule type="expression" dxfId="1069" priority="1019" stopIfTrue="1">
      <formula>$A33&lt;1</formula>
    </cfRule>
  </conditionalFormatting>
  <conditionalFormatting sqref="T27:T45">
    <cfRule type="expression" dxfId="1068" priority="1018" stopIfTrue="1">
      <formula>$A27&lt;1</formula>
    </cfRule>
  </conditionalFormatting>
  <conditionalFormatting sqref="T33:T37">
    <cfRule type="expression" dxfId="1067" priority="1017" stopIfTrue="1">
      <formula>$A33&lt;1</formula>
    </cfRule>
  </conditionalFormatting>
  <conditionalFormatting sqref="T27:T45">
    <cfRule type="expression" dxfId="1066" priority="1016" stopIfTrue="1">
      <formula>$A27&lt;1</formula>
    </cfRule>
  </conditionalFormatting>
  <conditionalFormatting sqref="T33:T37">
    <cfRule type="expression" dxfId="1065" priority="1015" stopIfTrue="1">
      <formula>$A33&lt;1</formula>
    </cfRule>
  </conditionalFormatting>
  <conditionalFormatting sqref="T27:T45">
    <cfRule type="expression" dxfId="1064" priority="1014" stopIfTrue="1">
      <formula>$A27&lt;1</formula>
    </cfRule>
  </conditionalFormatting>
  <conditionalFormatting sqref="T33:T37">
    <cfRule type="expression" dxfId="1063" priority="1013" stopIfTrue="1">
      <formula>$A33&lt;1</formula>
    </cfRule>
  </conditionalFormatting>
  <conditionalFormatting sqref="T27:T45">
    <cfRule type="expression" dxfId="1062" priority="1012" stopIfTrue="1">
      <formula>$A27&lt;1</formula>
    </cfRule>
  </conditionalFormatting>
  <conditionalFormatting sqref="T33:T37">
    <cfRule type="expression" dxfId="1061" priority="1011" stopIfTrue="1">
      <formula>$A33&lt;1</formula>
    </cfRule>
  </conditionalFormatting>
  <conditionalFormatting sqref="T27:T45">
    <cfRule type="expression" dxfId="1060" priority="1010" stopIfTrue="1">
      <formula>$A27&lt;1</formula>
    </cfRule>
  </conditionalFormatting>
  <conditionalFormatting sqref="T33:T37">
    <cfRule type="expression" dxfId="1059" priority="1009" stopIfTrue="1">
      <formula>$A33&lt;1</formula>
    </cfRule>
  </conditionalFormatting>
  <conditionalFormatting sqref="T27:T45">
    <cfRule type="expression" dxfId="1058" priority="1008" stopIfTrue="1">
      <formula>$A27&lt;1</formula>
    </cfRule>
  </conditionalFormatting>
  <conditionalFormatting sqref="T33:T37">
    <cfRule type="expression" dxfId="1057" priority="1007" stopIfTrue="1">
      <formula>$A33&lt;1</formula>
    </cfRule>
  </conditionalFormatting>
  <conditionalFormatting sqref="T27:T45">
    <cfRule type="expression" dxfId="1056" priority="1006" stopIfTrue="1">
      <formula>$A27&lt;1</formula>
    </cfRule>
  </conditionalFormatting>
  <conditionalFormatting sqref="T33:T37">
    <cfRule type="expression" dxfId="1055" priority="1005" stopIfTrue="1">
      <formula>$A33&lt;1</formula>
    </cfRule>
  </conditionalFormatting>
  <conditionalFormatting sqref="T27:T45">
    <cfRule type="expression" dxfId="1054" priority="1004" stopIfTrue="1">
      <formula>$A27&lt;1</formula>
    </cfRule>
  </conditionalFormatting>
  <conditionalFormatting sqref="T33:T37">
    <cfRule type="expression" dxfId="1053" priority="1003" stopIfTrue="1">
      <formula>$A33&lt;1</formula>
    </cfRule>
  </conditionalFormatting>
  <conditionalFormatting sqref="T27:T45">
    <cfRule type="expression" dxfId="1052" priority="1002" stopIfTrue="1">
      <formula>$A27&lt;1</formula>
    </cfRule>
  </conditionalFormatting>
  <conditionalFormatting sqref="T33:T37">
    <cfRule type="expression" dxfId="1051" priority="1001" stopIfTrue="1">
      <formula>$A33&lt;1</formula>
    </cfRule>
  </conditionalFormatting>
  <conditionalFormatting sqref="T27:T45">
    <cfRule type="expression" dxfId="1050" priority="1000" stopIfTrue="1">
      <formula>$A27&lt;1</formula>
    </cfRule>
  </conditionalFormatting>
  <conditionalFormatting sqref="T33:T37">
    <cfRule type="expression" dxfId="1049" priority="999" stopIfTrue="1">
      <formula>$A33&lt;1</formula>
    </cfRule>
  </conditionalFormatting>
  <conditionalFormatting sqref="T27:T45">
    <cfRule type="expression" dxfId="1048" priority="998" stopIfTrue="1">
      <formula>$A27&lt;1</formula>
    </cfRule>
  </conditionalFormatting>
  <conditionalFormatting sqref="T33:T37">
    <cfRule type="expression" dxfId="1047" priority="997" stopIfTrue="1">
      <formula>$A33&lt;1</formula>
    </cfRule>
  </conditionalFormatting>
  <conditionalFormatting sqref="T27:T45">
    <cfRule type="expression" dxfId="1046" priority="996" stopIfTrue="1">
      <formula>$A27&lt;1</formula>
    </cfRule>
  </conditionalFormatting>
  <conditionalFormatting sqref="T33:T37">
    <cfRule type="expression" dxfId="1045" priority="995" stopIfTrue="1">
      <formula>$A33&lt;1</formula>
    </cfRule>
  </conditionalFormatting>
  <conditionalFormatting sqref="T27:T45">
    <cfRule type="expression" dxfId="1044" priority="994" stopIfTrue="1">
      <formula>$A27&lt;1</formula>
    </cfRule>
  </conditionalFormatting>
  <conditionalFormatting sqref="T33:T37">
    <cfRule type="expression" dxfId="1043" priority="993" stopIfTrue="1">
      <formula>$A33&lt;1</formula>
    </cfRule>
  </conditionalFormatting>
  <conditionalFormatting sqref="T27:T45">
    <cfRule type="expression" dxfId="1042" priority="992" stopIfTrue="1">
      <formula>$A27&lt;1</formula>
    </cfRule>
  </conditionalFormatting>
  <conditionalFormatting sqref="T33:T37">
    <cfRule type="expression" dxfId="1041" priority="991" stopIfTrue="1">
      <formula>$A33&lt;1</formula>
    </cfRule>
  </conditionalFormatting>
  <conditionalFormatting sqref="T27:T45">
    <cfRule type="expression" dxfId="1040" priority="990" stopIfTrue="1">
      <formula>$A27&lt;1</formula>
    </cfRule>
  </conditionalFormatting>
  <conditionalFormatting sqref="T33:T37">
    <cfRule type="expression" dxfId="1039" priority="989" stopIfTrue="1">
      <formula>$A33&lt;1</formula>
    </cfRule>
  </conditionalFormatting>
  <conditionalFormatting sqref="T27:T45">
    <cfRule type="expression" dxfId="1038" priority="988" stopIfTrue="1">
      <formula>$A27&lt;1</formula>
    </cfRule>
  </conditionalFormatting>
  <conditionalFormatting sqref="T33:T37">
    <cfRule type="expression" dxfId="1037" priority="987" stopIfTrue="1">
      <formula>$A33&lt;1</formula>
    </cfRule>
  </conditionalFormatting>
  <conditionalFormatting sqref="T27:T45">
    <cfRule type="expression" dxfId="1036" priority="986" stopIfTrue="1">
      <formula>$A27&lt;1</formula>
    </cfRule>
  </conditionalFormatting>
  <conditionalFormatting sqref="T33:T37">
    <cfRule type="expression" dxfId="1035" priority="985" stopIfTrue="1">
      <formula>$A33&lt;1</formula>
    </cfRule>
  </conditionalFormatting>
  <conditionalFormatting sqref="T27:T45">
    <cfRule type="expression" dxfId="1034" priority="984" stopIfTrue="1">
      <formula>$A27&lt;1</formula>
    </cfRule>
  </conditionalFormatting>
  <conditionalFormatting sqref="T33:T37">
    <cfRule type="expression" dxfId="1033" priority="983" stopIfTrue="1">
      <formula>$A33&lt;1</formula>
    </cfRule>
  </conditionalFormatting>
  <conditionalFormatting sqref="T27:T45">
    <cfRule type="expression" dxfId="1032" priority="982" stopIfTrue="1">
      <formula>$A27&lt;1</formula>
    </cfRule>
  </conditionalFormatting>
  <conditionalFormatting sqref="T33:T37">
    <cfRule type="expression" dxfId="1031" priority="981" stopIfTrue="1">
      <formula>$A33&lt;1</formula>
    </cfRule>
  </conditionalFormatting>
  <conditionalFormatting sqref="T27:T45">
    <cfRule type="expression" dxfId="1030" priority="980" stopIfTrue="1">
      <formula>$A27&lt;1</formula>
    </cfRule>
  </conditionalFormatting>
  <conditionalFormatting sqref="T33:T37">
    <cfRule type="expression" dxfId="1029" priority="979" stopIfTrue="1">
      <formula>$A33&lt;1</formula>
    </cfRule>
  </conditionalFormatting>
  <conditionalFormatting sqref="T27:T45">
    <cfRule type="expression" dxfId="1028" priority="978" stopIfTrue="1">
      <formula>$A27&lt;1</formula>
    </cfRule>
  </conditionalFormatting>
  <conditionalFormatting sqref="T33:T37">
    <cfRule type="expression" dxfId="1027" priority="977" stopIfTrue="1">
      <formula>$A33&lt;1</formula>
    </cfRule>
  </conditionalFormatting>
  <conditionalFormatting sqref="T27:T45">
    <cfRule type="expression" dxfId="1026" priority="976" stopIfTrue="1">
      <formula>$A27&lt;1</formula>
    </cfRule>
  </conditionalFormatting>
  <conditionalFormatting sqref="T33:T37">
    <cfRule type="expression" dxfId="1025" priority="975" stopIfTrue="1">
      <formula>$A33&lt;1</formula>
    </cfRule>
  </conditionalFormatting>
  <conditionalFormatting sqref="T27:T45">
    <cfRule type="expression" dxfId="1024" priority="974" stopIfTrue="1">
      <formula>$A27&lt;1</formula>
    </cfRule>
  </conditionalFormatting>
  <conditionalFormatting sqref="T33:T37">
    <cfRule type="expression" dxfId="1023" priority="973" stopIfTrue="1">
      <formula>$A33&lt;1</formula>
    </cfRule>
  </conditionalFormatting>
  <conditionalFormatting sqref="T27:T45">
    <cfRule type="expression" dxfId="1022" priority="972" stopIfTrue="1">
      <formula>$A27&lt;1</formula>
    </cfRule>
  </conditionalFormatting>
  <conditionalFormatting sqref="T33:T37">
    <cfRule type="expression" dxfId="1021" priority="971" stopIfTrue="1">
      <formula>$A33&lt;1</formula>
    </cfRule>
  </conditionalFormatting>
  <conditionalFormatting sqref="T27:T45">
    <cfRule type="expression" dxfId="1020" priority="970" stopIfTrue="1">
      <formula>$A27&lt;1</formula>
    </cfRule>
  </conditionalFormatting>
  <conditionalFormatting sqref="T33:T37">
    <cfRule type="expression" dxfId="1019" priority="969" stopIfTrue="1">
      <formula>$A33&lt;1</formula>
    </cfRule>
  </conditionalFormatting>
  <conditionalFormatting sqref="T27:T45">
    <cfRule type="expression" dxfId="1018" priority="968" stopIfTrue="1">
      <formula>$A27&lt;1</formula>
    </cfRule>
  </conditionalFormatting>
  <conditionalFormatting sqref="T33:T37">
    <cfRule type="expression" dxfId="1017" priority="967" stopIfTrue="1">
      <formula>$A33&lt;1</formula>
    </cfRule>
  </conditionalFormatting>
  <conditionalFormatting sqref="T27:T45">
    <cfRule type="expression" dxfId="1016" priority="966" stopIfTrue="1">
      <formula>$A27&lt;1</formula>
    </cfRule>
  </conditionalFormatting>
  <conditionalFormatting sqref="T33:T37">
    <cfRule type="expression" dxfId="1015" priority="965" stopIfTrue="1">
      <formula>$A33&lt;1</formula>
    </cfRule>
  </conditionalFormatting>
  <conditionalFormatting sqref="T27:T45">
    <cfRule type="expression" dxfId="1014" priority="964" stopIfTrue="1">
      <formula>$A27&lt;1</formula>
    </cfRule>
  </conditionalFormatting>
  <conditionalFormatting sqref="T33:T37">
    <cfRule type="expression" dxfId="1013" priority="963" stopIfTrue="1">
      <formula>$A33&lt;1</formula>
    </cfRule>
  </conditionalFormatting>
  <conditionalFormatting sqref="T27:T45">
    <cfRule type="expression" dxfId="1012" priority="962" stopIfTrue="1">
      <formula>$A27&lt;1</formula>
    </cfRule>
  </conditionalFormatting>
  <conditionalFormatting sqref="T33:T37">
    <cfRule type="expression" dxfId="1011" priority="961" stopIfTrue="1">
      <formula>$A33&lt;1</formula>
    </cfRule>
  </conditionalFormatting>
  <conditionalFormatting sqref="T27:T45">
    <cfRule type="expression" dxfId="1010" priority="960" stopIfTrue="1">
      <formula>$A27&lt;1</formula>
    </cfRule>
  </conditionalFormatting>
  <conditionalFormatting sqref="T33:T37">
    <cfRule type="expression" dxfId="1009" priority="959" stopIfTrue="1">
      <formula>$A33&lt;1</formula>
    </cfRule>
  </conditionalFormatting>
  <conditionalFormatting sqref="T27:T45">
    <cfRule type="expression" dxfId="1008" priority="958" stopIfTrue="1">
      <formula>$A27&lt;1</formula>
    </cfRule>
  </conditionalFormatting>
  <conditionalFormatting sqref="T33:T37">
    <cfRule type="expression" dxfId="1007" priority="957" stopIfTrue="1">
      <formula>$A33&lt;1</formula>
    </cfRule>
  </conditionalFormatting>
  <conditionalFormatting sqref="T27:T45">
    <cfRule type="expression" dxfId="1006" priority="956" stopIfTrue="1">
      <formula>$A27&lt;1</formula>
    </cfRule>
  </conditionalFormatting>
  <conditionalFormatting sqref="T33:T37">
    <cfRule type="expression" dxfId="1005" priority="955" stopIfTrue="1">
      <formula>$A33&lt;1</formula>
    </cfRule>
  </conditionalFormatting>
  <conditionalFormatting sqref="T27:T45">
    <cfRule type="expression" dxfId="1004" priority="954" stopIfTrue="1">
      <formula>$A27&lt;1</formula>
    </cfRule>
  </conditionalFormatting>
  <conditionalFormatting sqref="T33:T37">
    <cfRule type="expression" dxfId="1003" priority="953" stopIfTrue="1">
      <formula>$A33&lt;1</formula>
    </cfRule>
  </conditionalFormatting>
  <conditionalFormatting sqref="T27:T45">
    <cfRule type="expression" dxfId="1002" priority="952" stopIfTrue="1">
      <formula>$A27&lt;1</formula>
    </cfRule>
  </conditionalFormatting>
  <conditionalFormatting sqref="T33:T37">
    <cfRule type="expression" dxfId="1001" priority="951" stopIfTrue="1">
      <formula>$A33&lt;1</formula>
    </cfRule>
  </conditionalFormatting>
  <conditionalFormatting sqref="T27:T45">
    <cfRule type="expression" dxfId="1000" priority="950" stopIfTrue="1">
      <formula>$A27&lt;1</formula>
    </cfRule>
  </conditionalFormatting>
  <conditionalFormatting sqref="T33:T37">
    <cfRule type="expression" dxfId="999" priority="949" stopIfTrue="1">
      <formula>$A33&lt;1</formula>
    </cfRule>
  </conditionalFormatting>
  <conditionalFormatting sqref="T27:T45">
    <cfRule type="expression" dxfId="998" priority="948" stopIfTrue="1">
      <formula>$A27&lt;1</formula>
    </cfRule>
  </conditionalFormatting>
  <conditionalFormatting sqref="T33:T37">
    <cfRule type="expression" dxfId="997" priority="947" stopIfTrue="1">
      <formula>$A33&lt;1</formula>
    </cfRule>
  </conditionalFormatting>
  <conditionalFormatting sqref="T27:T45">
    <cfRule type="expression" dxfId="996" priority="946" stopIfTrue="1">
      <formula>$A27&lt;1</formula>
    </cfRule>
  </conditionalFormatting>
  <conditionalFormatting sqref="T33:T37">
    <cfRule type="expression" dxfId="995" priority="945" stopIfTrue="1">
      <formula>$A33&lt;1</formula>
    </cfRule>
  </conditionalFormatting>
  <conditionalFormatting sqref="T27:T45">
    <cfRule type="expression" dxfId="994" priority="944" stopIfTrue="1">
      <formula>$A27&lt;1</formula>
    </cfRule>
  </conditionalFormatting>
  <conditionalFormatting sqref="T33:T37">
    <cfRule type="expression" dxfId="993" priority="943" stopIfTrue="1">
      <formula>$A33&lt;1</formula>
    </cfRule>
  </conditionalFormatting>
  <conditionalFormatting sqref="T27:T45">
    <cfRule type="expression" dxfId="992" priority="942" stopIfTrue="1">
      <formula>$A27&lt;1</formula>
    </cfRule>
  </conditionalFormatting>
  <conditionalFormatting sqref="T33:T37">
    <cfRule type="expression" dxfId="991" priority="941" stopIfTrue="1">
      <formula>$A33&lt;1</formula>
    </cfRule>
  </conditionalFormatting>
  <conditionalFormatting sqref="T27:T45">
    <cfRule type="expression" dxfId="990" priority="940" stopIfTrue="1">
      <formula>$A27&lt;1</formula>
    </cfRule>
  </conditionalFormatting>
  <conditionalFormatting sqref="T33:T37">
    <cfRule type="expression" dxfId="989" priority="939" stopIfTrue="1">
      <formula>$A33&lt;1</formula>
    </cfRule>
  </conditionalFormatting>
  <conditionalFormatting sqref="T27:T45">
    <cfRule type="expression" dxfId="988" priority="938" stopIfTrue="1">
      <formula>$A27&lt;1</formula>
    </cfRule>
  </conditionalFormatting>
  <conditionalFormatting sqref="T33:T37">
    <cfRule type="expression" dxfId="987" priority="937" stopIfTrue="1">
      <formula>$A33&lt;1</formula>
    </cfRule>
  </conditionalFormatting>
  <conditionalFormatting sqref="T27:T45">
    <cfRule type="expression" dxfId="986" priority="936" stopIfTrue="1">
      <formula>$A27&lt;1</formula>
    </cfRule>
  </conditionalFormatting>
  <conditionalFormatting sqref="T33:T37">
    <cfRule type="expression" dxfId="985" priority="935" stopIfTrue="1">
      <formula>$A33&lt;1</formula>
    </cfRule>
  </conditionalFormatting>
  <conditionalFormatting sqref="T27:T45">
    <cfRule type="expression" dxfId="984" priority="934" stopIfTrue="1">
      <formula>$A27&lt;1</formula>
    </cfRule>
  </conditionalFormatting>
  <conditionalFormatting sqref="T33:T37">
    <cfRule type="expression" dxfId="983" priority="933" stopIfTrue="1">
      <formula>$A33&lt;1</formula>
    </cfRule>
  </conditionalFormatting>
  <conditionalFormatting sqref="T27:T45">
    <cfRule type="expression" dxfId="982" priority="932" stopIfTrue="1">
      <formula>$A27&lt;1</formula>
    </cfRule>
  </conditionalFormatting>
  <conditionalFormatting sqref="G26:G45">
    <cfRule type="expression" dxfId="981" priority="931" stopIfTrue="1">
      <formula>$A26&lt;1</formula>
    </cfRule>
  </conditionalFormatting>
  <conditionalFormatting sqref="G26:G45">
    <cfRule type="expression" dxfId="980" priority="930" stopIfTrue="1">
      <formula>$A26&lt;1</formula>
    </cfRule>
  </conditionalFormatting>
  <conditionalFormatting sqref="G26:G45">
    <cfRule type="expression" dxfId="979" priority="929" stopIfTrue="1">
      <formula>$A26&lt;1</formula>
    </cfRule>
  </conditionalFormatting>
  <conditionalFormatting sqref="G26:G45">
    <cfRule type="expression" dxfId="978" priority="928" stopIfTrue="1">
      <formula>$A26&lt;1</formula>
    </cfRule>
  </conditionalFormatting>
  <conditionalFormatting sqref="G26:G45">
    <cfRule type="expression" dxfId="977" priority="927" stopIfTrue="1">
      <formula>$A26&lt;1</formula>
    </cfRule>
  </conditionalFormatting>
  <conditionalFormatting sqref="G26:G45">
    <cfRule type="expression" dxfId="976" priority="926" stopIfTrue="1">
      <formula>$A26&lt;1</formula>
    </cfRule>
  </conditionalFormatting>
  <conditionalFormatting sqref="G26:G45">
    <cfRule type="expression" dxfId="975" priority="925" stopIfTrue="1">
      <formula>$A26&lt;1</formula>
    </cfRule>
  </conditionalFormatting>
  <conditionalFormatting sqref="G26:G45">
    <cfRule type="expression" dxfId="974" priority="924" stopIfTrue="1">
      <formula>$A26&lt;1</formula>
    </cfRule>
  </conditionalFormatting>
  <conditionalFormatting sqref="G26:G45">
    <cfRule type="expression" dxfId="973" priority="923" stopIfTrue="1">
      <formula>$A26&lt;1</formula>
    </cfRule>
  </conditionalFormatting>
  <conditionalFormatting sqref="G26:G45">
    <cfRule type="expression" dxfId="972" priority="922" stopIfTrue="1">
      <formula>$A26&lt;1</formula>
    </cfRule>
  </conditionalFormatting>
  <conditionalFormatting sqref="G26:G45">
    <cfRule type="expression" dxfId="971" priority="921" stopIfTrue="1">
      <formula>$A26&lt;1</formula>
    </cfRule>
  </conditionalFormatting>
  <conditionalFormatting sqref="G26:G45">
    <cfRule type="expression" dxfId="970" priority="920" stopIfTrue="1">
      <formula>$A26&lt;1</formula>
    </cfRule>
  </conditionalFormatting>
  <conditionalFormatting sqref="T33:T45">
    <cfRule type="expression" dxfId="969" priority="919" stopIfTrue="1">
      <formula>$A33&lt;1</formula>
    </cfRule>
  </conditionalFormatting>
  <conditionalFormatting sqref="T27:T45">
    <cfRule type="expression" dxfId="968" priority="918" stopIfTrue="1">
      <formula>$A27&lt;1</formula>
    </cfRule>
  </conditionalFormatting>
  <conditionalFormatting sqref="T33:T45">
    <cfRule type="expression" dxfId="967" priority="917" stopIfTrue="1">
      <formula>$A33&lt;1</formula>
    </cfRule>
  </conditionalFormatting>
  <conditionalFormatting sqref="T27:T45">
    <cfRule type="expression" dxfId="966" priority="916" stopIfTrue="1">
      <formula>$A27&lt;1</formula>
    </cfRule>
  </conditionalFormatting>
  <conditionalFormatting sqref="T33:T45">
    <cfRule type="expression" dxfId="965" priority="915" stopIfTrue="1">
      <formula>$A33&lt;1</formula>
    </cfRule>
  </conditionalFormatting>
  <conditionalFormatting sqref="T27:T45">
    <cfRule type="expression" dxfId="964" priority="914" stopIfTrue="1">
      <formula>$A27&lt;1</formula>
    </cfRule>
  </conditionalFormatting>
  <conditionalFormatting sqref="T33:T45">
    <cfRule type="expression" dxfId="963" priority="913" stopIfTrue="1">
      <formula>$A33&lt;1</formula>
    </cfRule>
  </conditionalFormatting>
  <conditionalFormatting sqref="T27:T45">
    <cfRule type="expression" dxfId="962" priority="912" stopIfTrue="1">
      <formula>$A27&lt;1</formula>
    </cfRule>
  </conditionalFormatting>
  <conditionalFormatting sqref="T33:T45">
    <cfRule type="expression" dxfId="961" priority="911" stopIfTrue="1">
      <formula>$A33&lt;1</formula>
    </cfRule>
  </conditionalFormatting>
  <conditionalFormatting sqref="T27:T45">
    <cfRule type="expression" dxfId="960" priority="910" stopIfTrue="1">
      <formula>$A27&lt;1</formula>
    </cfRule>
  </conditionalFormatting>
  <conditionalFormatting sqref="T33:T45">
    <cfRule type="expression" dxfId="959" priority="909" stopIfTrue="1">
      <formula>$A33&lt;1</formula>
    </cfRule>
  </conditionalFormatting>
  <conditionalFormatting sqref="T27:T45">
    <cfRule type="expression" dxfId="958" priority="908" stopIfTrue="1">
      <formula>$A27&lt;1</formula>
    </cfRule>
  </conditionalFormatting>
  <conditionalFormatting sqref="T33:T37">
    <cfRule type="expression" dxfId="957" priority="907" stopIfTrue="1">
      <formula>$A33&lt;1</formula>
    </cfRule>
  </conditionalFormatting>
  <conditionalFormatting sqref="T27:T45">
    <cfRule type="expression" dxfId="956" priority="906" stopIfTrue="1">
      <formula>$A27&lt;1</formula>
    </cfRule>
  </conditionalFormatting>
  <conditionalFormatting sqref="T33:T37">
    <cfRule type="expression" dxfId="955" priority="905" stopIfTrue="1">
      <formula>$A33&lt;1</formula>
    </cfRule>
  </conditionalFormatting>
  <conditionalFormatting sqref="T27:T45">
    <cfRule type="expression" dxfId="954" priority="904" stopIfTrue="1">
      <formula>$A27&lt;1</formula>
    </cfRule>
  </conditionalFormatting>
  <conditionalFormatting sqref="T33:T37">
    <cfRule type="expression" dxfId="953" priority="903" stopIfTrue="1">
      <formula>$A33&lt;1</formula>
    </cfRule>
  </conditionalFormatting>
  <conditionalFormatting sqref="T27:T45">
    <cfRule type="expression" dxfId="952" priority="902" stopIfTrue="1">
      <formula>$A27&lt;1</formula>
    </cfRule>
  </conditionalFormatting>
  <conditionalFormatting sqref="T33:T37">
    <cfRule type="expression" dxfId="951" priority="901" stopIfTrue="1">
      <formula>$A33&lt;1</formula>
    </cfRule>
  </conditionalFormatting>
  <conditionalFormatting sqref="T27:T45">
    <cfRule type="expression" dxfId="950" priority="900" stopIfTrue="1">
      <formula>$A27&lt;1</formula>
    </cfRule>
  </conditionalFormatting>
  <conditionalFormatting sqref="T33:T37">
    <cfRule type="expression" dxfId="949" priority="899" stopIfTrue="1">
      <formula>$A33&lt;1</formula>
    </cfRule>
  </conditionalFormatting>
  <conditionalFormatting sqref="T27:T45">
    <cfRule type="expression" dxfId="948" priority="898" stopIfTrue="1">
      <formula>$A27&lt;1</formula>
    </cfRule>
  </conditionalFormatting>
  <conditionalFormatting sqref="T33:T37">
    <cfRule type="expression" dxfId="947" priority="897" stopIfTrue="1">
      <formula>$A33&lt;1</formula>
    </cfRule>
  </conditionalFormatting>
  <conditionalFormatting sqref="T27:T45">
    <cfRule type="expression" dxfId="946" priority="896" stopIfTrue="1">
      <formula>$A27&lt;1</formula>
    </cfRule>
  </conditionalFormatting>
  <conditionalFormatting sqref="T33:T37">
    <cfRule type="expression" dxfId="945" priority="895" stopIfTrue="1">
      <formula>$A33&lt;1</formula>
    </cfRule>
  </conditionalFormatting>
  <conditionalFormatting sqref="T27:T45">
    <cfRule type="expression" dxfId="944" priority="894" stopIfTrue="1">
      <formula>$A27&lt;1</formula>
    </cfRule>
  </conditionalFormatting>
  <conditionalFormatting sqref="T33:T37">
    <cfRule type="expression" dxfId="943" priority="893" stopIfTrue="1">
      <formula>$A33&lt;1</formula>
    </cfRule>
  </conditionalFormatting>
  <conditionalFormatting sqref="T27:T45">
    <cfRule type="expression" dxfId="942" priority="892" stopIfTrue="1">
      <formula>$A27&lt;1</formula>
    </cfRule>
  </conditionalFormatting>
  <conditionalFormatting sqref="T33:T37">
    <cfRule type="expression" dxfId="941" priority="891" stopIfTrue="1">
      <formula>$A33&lt;1</formula>
    </cfRule>
  </conditionalFormatting>
  <conditionalFormatting sqref="T27:T45">
    <cfRule type="expression" dxfId="940" priority="890" stopIfTrue="1">
      <formula>$A27&lt;1</formula>
    </cfRule>
  </conditionalFormatting>
  <conditionalFormatting sqref="T33:T37">
    <cfRule type="expression" dxfId="939" priority="889" stopIfTrue="1">
      <formula>$A33&lt;1</formula>
    </cfRule>
  </conditionalFormatting>
  <conditionalFormatting sqref="T27:T45">
    <cfRule type="expression" dxfId="938" priority="888" stopIfTrue="1">
      <formula>$A27&lt;1</formula>
    </cfRule>
  </conditionalFormatting>
  <conditionalFormatting sqref="T33:T37">
    <cfRule type="expression" dxfId="937" priority="887" stopIfTrue="1">
      <formula>$A33&lt;1</formula>
    </cfRule>
  </conditionalFormatting>
  <conditionalFormatting sqref="T27:T45">
    <cfRule type="expression" dxfId="936" priority="886" stopIfTrue="1">
      <formula>$A27&lt;1</formula>
    </cfRule>
  </conditionalFormatting>
  <conditionalFormatting sqref="T33:T37">
    <cfRule type="expression" dxfId="935" priority="885" stopIfTrue="1">
      <formula>$A33&lt;1</formula>
    </cfRule>
  </conditionalFormatting>
  <conditionalFormatting sqref="T27:T45">
    <cfRule type="expression" dxfId="934" priority="884" stopIfTrue="1">
      <formula>$A27&lt;1</formula>
    </cfRule>
  </conditionalFormatting>
  <conditionalFormatting sqref="T33:T37">
    <cfRule type="expression" dxfId="933" priority="883" stopIfTrue="1">
      <formula>$A33&lt;1</formula>
    </cfRule>
  </conditionalFormatting>
  <conditionalFormatting sqref="T27:T45">
    <cfRule type="expression" dxfId="932" priority="882" stopIfTrue="1">
      <formula>$A27&lt;1</formula>
    </cfRule>
  </conditionalFormatting>
  <conditionalFormatting sqref="T33:T37">
    <cfRule type="expression" dxfId="931" priority="881" stopIfTrue="1">
      <formula>$A33&lt;1</formula>
    </cfRule>
  </conditionalFormatting>
  <conditionalFormatting sqref="T27:T45">
    <cfRule type="expression" dxfId="930" priority="880" stopIfTrue="1">
      <formula>$A27&lt;1</formula>
    </cfRule>
  </conditionalFormatting>
  <conditionalFormatting sqref="T33:T37">
    <cfRule type="expression" dxfId="929" priority="879" stopIfTrue="1">
      <formula>$A33&lt;1</formula>
    </cfRule>
  </conditionalFormatting>
  <conditionalFormatting sqref="T27:T45">
    <cfRule type="expression" dxfId="928" priority="878" stopIfTrue="1">
      <formula>$A27&lt;1</formula>
    </cfRule>
  </conditionalFormatting>
  <conditionalFormatting sqref="T33:T37">
    <cfRule type="expression" dxfId="927" priority="877" stopIfTrue="1">
      <formula>$A33&lt;1</formula>
    </cfRule>
  </conditionalFormatting>
  <conditionalFormatting sqref="T27:T45">
    <cfRule type="expression" dxfId="926" priority="876" stopIfTrue="1">
      <formula>$A27&lt;1</formula>
    </cfRule>
  </conditionalFormatting>
  <conditionalFormatting sqref="T33:T37">
    <cfRule type="expression" dxfId="925" priority="875" stopIfTrue="1">
      <formula>$A33&lt;1</formula>
    </cfRule>
  </conditionalFormatting>
  <conditionalFormatting sqref="T27:T45">
    <cfRule type="expression" dxfId="924" priority="874" stopIfTrue="1">
      <formula>$A27&lt;1</formula>
    </cfRule>
  </conditionalFormatting>
  <conditionalFormatting sqref="T33:T37">
    <cfRule type="expression" dxfId="923" priority="873" stopIfTrue="1">
      <formula>$A33&lt;1</formula>
    </cfRule>
  </conditionalFormatting>
  <conditionalFormatting sqref="T27:T45">
    <cfRule type="expression" dxfId="922" priority="872" stopIfTrue="1">
      <formula>$A27&lt;1</formula>
    </cfRule>
  </conditionalFormatting>
  <conditionalFormatting sqref="T33:T37">
    <cfRule type="expression" dxfId="921" priority="871" stopIfTrue="1">
      <formula>$A33&lt;1</formula>
    </cfRule>
  </conditionalFormatting>
  <conditionalFormatting sqref="T27:T45">
    <cfRule type="expression" dxfId="920" priority="870" stopIfTrue="1">
      <formula>$A27&lt;1</formula>
    </cfRule>
  </conditionalFormatting>
  <conditionalFormatting sqref="T33:T37">
    <cfRule type="expression" dxfId="919" priority="869" stopIfTrue="1">
      <formula>$A33&lt;1</formula>
    </cfRule>
  </conditionalFormatting>
  <conditionalFormatting sqref="T27:T45">
    <cfRule type="expression" dxfId="918" priority="868" stopIfTrue="1">
      <formula>$A27&lt;1</formula>
    </cfRule>
  </conditionalFormatting>
  <conditionalFormatting sqref="T33:T37">
    <cfRule type="expression" dxfId="917" priority="867" stopIfTrue="1">
      <formula>$A33&lt;1</formula>
    </cfRule>
  </conditionalFormatting>
  <conditionalFormatting sqref="T27:T45">
    <cfRule type="expression" dxfId="916" priority="866" stopIfTrue="1">
      <formula>$A27&lt;1</formula>
    </cfRule>
  </conditionalFormatting>
  <conditionalFormatting sqref="T33:T37">
    <cfRule type="expression" dxfId="915" priority="865" stopIfTrue="1">
      <formula>$A33&lt;1</formula>
    </cfRule>
  </conditionalFormatting>
  <conditionalFormatting sqref="T27:T45">
    <cfRule type="expression" dxfId="914" priority="864" stopIfTrue="1">
      <formula>$A27&lt;1</formula>
    </cfRule>
  </conditionalFormatting>
  <conditionalFormatting sqref="T33:T37">
    <cfRule type="expression" dxfId="913" priority="863" stopIfTrue="1">
      <formula>$A33&lt;1</formula>
    </cfRule>
  </conditionalFormatting>
  <conditionalFormatting sqref="T27:T45">
    <cfRule type="expression" dxfId="912" priority="862" stopIfTrue="1">
      <formula>$A27&lt;1</formula>
    </cfRule>
  </conditionalFormatting>
  <conditionalFormatting sqref="T33:T37">
    <cfRule type="expression" dxfId="911" priority="861" stopIfTrue="1">
      <formula>$A33&lt;1</formula>
    </cfRule>
  </conditionalFormatting>
  <conditionalFormatting sqref="T27:T45">
    <cfRule type="expression" dxfId="910" priority="860" stopIfTrue="1">
      <formula>$A27&lt;1</formula>
    </cfRule>
  </conditionalFormatting>
  <conditionalFormatting sqref="T33:T37">
    <cfRule type="expression" dxfId="909" priority="859" stopIfTrue="1">
      <formula>$A33&lt;1</formula>
    </cfRule>
  </conditionalFormatting>
  <conditionalFormatting sqref="T27:T45">
    <cfRule type="expression" dxfId="908" priority="858" stopIfTrue="1">
      <formula>$A27&lt;1</formula>
    </cfRule>
  </conditionalFormatting>
  <conditionalFormatting sqref="T33:T37">
    <cfRule type="expression" dxfId="907" priority="857" stopIfTrue="1">
      <formula>$A33&lt;1</formula>
    </cfRule>
  </conditionalFormatting>
  <conditionalFormatting sqref="T27:T45">
    <cfRule type="expression" dxfId="906" priority="856" stopIfTrue="1">
      <formula>$A27&lt;1</formula>
    </cfRule>
  </conditionalFormatting>
  <conditionalFormatting sqref="T33:T37">
    <cfRule type="expression" dxfId="905" priority="855" stopIfTrue="1">
      <formula>$A33&lt;1</formula>
    </cfRule>
  </conditionalFormatting>
  <conditionalFormatting sqref="T27:T45">
    <cfRule type="expression" dxfId="904" priority="854" stopIfTrue="1">
      <formula>$A27&lt;1</formula>
    </cfRule>
  </conditionalFormatting>
  <conditionalFormatting sqref="T33:T37">
    <cfRule type="expression" dxfId="903" priority="853" stopIfTrue="1">
      <formula>$A33&lt;1</formula>
    </cfRule>
  </conditionalFormatting>
  <conditionalFormatting sqref="T27:T45">
    <cfRule type="expression" dxfId="902" priority="852" stopIfTrue="1">
      <formula>$A27&lt;1</formula>
    </cfRule>
  </conditionalFormatting>
  <conditionalFormatting sqref="T33:T37">
    <cfRule type="expression" dxfId="901" priority="851" stopIfTrue="1">
      <formula>$A33&lt;1</formula>
    </cfRule>
  </conditionalFormatting>
  <conditionalFormatting sqref="T27:T45">
    <cfRule type="expression" dxfId="900" priority="850" stopIfTrue="1">
      <formula>$A27&lt;1</formula>
    </cfRule>
  </conditionalFormatting>
  <conditionalFormatting sqref="T33:T37">
    <cfRule type="expression" dxfId="899" priority="849" stopIfTrue="1">
      <formula>$A33&lt;1</formula>
    </cfRule>
  </conditionalFormatting>
  <conditionalFormatting sqref="T27:T45">
    <cfRule type="expression" dxfId="898" priority="848" stopIfTrue="1">
      <formula>$A27&lt;1</formula>
    </cfRule>
  </conditionalFormatting>
  <conditionalFormatting sqref="T33:T37">
    <cfRule type="expression" dxfId="897" priority="847" stopIfTrue="1">
      <formula>$A33&lt;1</formula>
    </cfRule>
  </conditionalFormatting>
  <conditionalFormatting sqref="T27:T45">
    <cfRule type="expression" dxfId="896" priority="846" stopIfTrue="1">
      <formula>$A27&lt;1</formula>
    </cfRule>
  </conditionalFormatting>
  <conditionalFormatting sqref="T33:T37">
    <cfRule type="expression" dxfId="895" priority="845" stopIfTrue="1">
      <formula>$A33&lt;1</formula>
    </cfRule>
  </conditionalFormatting>
  <conditionalFormatting sqref="T27:T45">
    <cfRule type="expression" dxfId="894" priority="844" stopIfTrue="1">
      <formula>$A27&lt;1</formula>
    </cfRule>
  </conditionalFormatting>
  <conditionalFormatting sqref="T33:T37">
    <cfRule type="expression" dxfId="893" priority="843" stopIfTrue="1">
      <formula>$A33&lt;1</formula>
    </cfRule>
  </conditionalFormatting>
  <conditionalFormatting sqref="T27:T45">
    <cfRule type="expression" dxfId="892" priority="842" stopIfTrue="1">
      <formula>$A27&lt;1</formula>
    </cfRule>
  </conditionalFormatting>
  <conditionalFormatting sqref="T33:T37">
    <cfRule type="expression" dxfId="891" priority="841" stopIfTrue="1">
      <formula>$A33&lt;1</formula>
    </cfRule>
  </conditionalFormatting>
  <conditionalFormatting sqref="T27:T45">
    <cfRule type="expression" dxfId="890" priority="840" stopIfTrue="1">
      <formula>$A27&lt;1</formula>
    </cfRule>
  </conditionalFormatting>
  <conditionalFormatting sqref="T33:T37">
    <cfRule type="expression" dxfId="889" priority="839" stopIfTrue="1">
      <formula>$A33&lt;1</formula>
    </cfRule>
  </conditionalFormatting>
  <conditionalFormatting sqref="T27:T45">
    <cfRule type="expression" dxfId="888" priority="838" stopIfTrue="1">
      <formula>$A27&lt;1</formula>
    </cfRule>
  </conditionalFormatting>
  <conditionalFormatting sqref="T33:T37">
    <cfRule type="expression" dxfId="887" priority="837" stopIfTrue="1">
      <formula>$A33&lt;1</formula>
    </cfRule>
  </conditionalFormatting>
  <conditionalFormatting sqref="T27:T45">
    <cfRule type="expression" dxfId="886" priority="836" stopIfTrue="1">
      <formula>$A27&lt;1</formula>
    </cfRule>
  </conditionalFormatting>
  <conditionalFormatting sqref="T33:T37">
    <cfRule type="expression" dxfId="885" priority="835" stopIfTrue="1">
      <formula>$A33&lt;1</formula>
    </cfRule>
  </conditionalFormatting>
  <conditionalFormatting sqref="T27:T45">
    <cfRule type="expression" dxfId="884" priority="834" stopIfTrue="1">
      <formula>$A27&lt;1</formula>
    </cfRule>
  </conditionalFormatting>
  <conditionalFormatting sqref="T33:T37">
    <cfRule type="expression" dxfId="883" priority="833" stopIfTrue="1">
      <formula>$A33&lt;1</formula>
    </cfRule>
  </conditionalFormatting>
  <conditionalFormatting sqref="T27:T45">
    <cfRule type="expression" dxfId="882" priority="832" stopIfTrue="1">
      <formula>$A27&lt;1</formula>
    </cfRule>
  </conditionalFormatting>
  <conditionalFormatting sqref="T33:T37">
    <cfRule type="expression" dxfId="881" priority="831" stopIfTrue="1">
      <formula>$A33&lt;1</formula>
    </cfRule>
  </conditionalFormatting>
  <conditionalFormatting sqref="T27:T45">
    <cfRule type="expression" dxfId="880" priority="830" stopIfTrue="1">
      <formula>$A27&lt;1</formula>
    </cfRule>
  </conditionalFormatting>
  <conditionalFormatting sqref="T33:T37">
    <cfRule type="expression" dxfId="879" priority="829" stopIfTrue="1">
      <formula>$A33&lt;1</formula>
    </cfRule>
  </conditionalFormatting>
  <conditionalFormatting sqref="T27:T45">
    <cfRule type="expression" dxfId="878" priority="828" stopIfTrue="1">
      <formula>$A27&lt;1</formula>
    </cfRule>
  </conditionalFormatting>
  <conditionalFormatting sqref="T33:T37">
    <cfRule type="expression" dxfId="877" priority="827" stopIfTrue="1">
      <formula>$A33&lt;1</formula>
    </cfRule>
  </conditionalFormatting>
  <conditionalFormatting sqref="T27:T45">
    <cfRule type="expression" dxfId="876" priority="826" stopIfTrue="1">
      <formula>$A27&lt;1</formula>
    </cfRule>
  </conditionalFormatting>
  <conditionalFormatting sqref="T33:T37">
    <cfRule type="expression" dxfId="875" priority="825" stopIfTrue="1">
      <formula>$A33&lt;1</formula>
    </cfRule>
  </conditionalFormatting>
  <conditionalFormatting sqref="T27:T45">
    <cfRule type="expression" dxfId="874" priority="824" stopIfTrue="1">
      <formula>$A27&lt;1</formula>
    </cfRule>
  </conditionalFormatting>
  <conditionalFormatting sqref="T33:T37">
    <cfRule type="expression" dxfId="873" priority="823" stopIfTrue="1">
      <formula>$A33&lt;1</formula>
    </cfRule>
  </conditionalFormatting>
  <conditionalFormatting sqref="T27:T45">
    <cfRule type="expression" dxfId="872" priority="822" stopIfTrue="1">
      <formula>$A27&lt;1</formula>
    </cfRule>
  </conditionalFormatting>
  <conditionalFormatting sqref="T33:T37">
    <cfRule type="expression" dxfId="871" priority="821" stopIfTrue="1">
      <formula>$A33&lt;1</formula>
    </cfRule>
  </conditionalFormatting>
  <conditionalFormatting sqref="T27:T45">
    <cfRule type="expression" dxfId="870" priority="820" stopIfTrue="1">
      <formula>$A27&lt;1</formula>
    </cfRule>
  </conditionalFormatting>
  <conditionalFormatting sqref="T33:T37">
    <cfRule type="expression" dxfId="869" priority="819" stopIfTrue="1">
      <formula>$A33&lt;1</formula>
    </cfRule>
  </conditionalFormatting>
  <conditionalFormatting sqref="T27:T45">
    <cfRule type="expression" dxfId="868" priority="818" stopIfTrue="1">
      <formula>$A27&lt;1</formula>
    </cfRule>
  </conditionalFormatting>
  <conditionalFormatting sqref="T33:T37">
    <cfRule type="expression" dxfId="867" priority="817" stopIfTrue="1">
      <formula>$A33&lt;1</formula>
    </cfRule>
  </conditionalFormatting>
  <conditionalFormatting sqref="T27:T45">
    <cfRule type="expression" dxfId="866" priority="816" stopIfTrue="1">
      <formula>$A27&lt;1</formula>
    </cfRule>
  </conditionalFormatting>
  <conditionalFormatting sqref="T33:T37">
    <cfRule type="expression" dxfId="865" priority="815" stopIfTrue="1">
      <formula>$A33&lt;1</formula>
    </cfRule>
  </conditionalFormatting>
  <conditionalFormatting sqref="T27:T45">
    <cfRule type="expression" dxfId="864" priority="814" stopIfTrue="1">
      <formula>$A27&lt;1</formula>
    </cfRule>
  </conditionalFormatting>
  <conditionalFormatting sqref="T33:T37">
    <cfRule type="expression" dxfId="863" priority="813" stopIfTrue="1">
      <formula>$A33&lt;1</formula>
    </cfRule>
  </conditionalFormatting>
  <conditionalFormatting sqref="T27:T45">
    <cfRule type="expression" dxfId="862" priority="812" stopIfTrue="1">
      <formula>$A27&lt;1</formula>
    </cfRule>
  </conditionalFormatting>
  <conditionalFormatting sqref="T33:T37">
    <cfRule type="expression" dxfId="861" priority="811" stopIfTrue="1">
      <formula>$A33&lt;1</formula>
    </cfRule>
  </conditionalFormatting>
  <conditionalFormatting sqref="T27:T45">
    <cfRule type="expression" dxfId="860" priority="810" stopIfTrue="1">
      <formula>$A27&lt;1</formula>
    </cfRule>
  </conditionalFormatting>
  <conditionalFormatting sqref="T33:T37">
    <cfRule type="expression" dxfId="859" priority="809" stopIfTrue="1">
      <formula>$A33&lt;1</formula>
    </cfRule>
  </conditionalFormatting>
  <conditionalFormatting sqref="T27:T45">
    <cfRule type="expression" dxfId="858" priority="808" stopIfTrue="1">
      <formula>$A27&lt;1</formula>
    </cfRule>
  </conditionalFormatting>
  <conditionalFormatting sqref="T33:T37">
    <cfRule type="expression" dxfId="857" priority="807" stopIfTrue="1">
      <formula>$A33&lt;1</formula>
    </cfRule>
  </conditionalFormatting>
  <conditionalFormatting sqref="T27:T45">
    <cfRule type="expression" dxfId="856" priority="806" stopIfTrue="1">
      <formula>$A27&lt;1</formula>
    </cfRule>
  </conditionalFormatting>
  <conditionalFormatting sqref="T33:T37">
    <cfRule type="expression" dxfId="855" priority="805" stopIfTrue="1">
      <formula>$A33&lt;1</formula>
    </cfRule>
  </conditionalFormatting>
  <conditionalFormatting sqref="T27:T45">
    <cfRule type="expression" dxfId="854" priority="804" stopIfTrue="1">
      <formula>$A27&lt;1</formula>
    </cfRule>
  </conditionalFormatting>
  <conditionalFormatting sqref="T33:T37">
    <cfRule type="expression" dxfId="853" priority="803" stopIfTrue="1">
      <formula>$A33&lt;1</formula>
    </cfRule>
  </conditionalFormatting>
  <conditionalFormatting sqref="T27:T45">
    <cfRule type="expression" dxfId="852" priority="802" stopIfTrue="1">
      <formula>$A27&lt;1</formula>
    </cfRule>
  </conditionalFormatting>
  <conditionalFormatting sqref="T33:T37">
    <cfRule type="expression" dxfId="851" priority="801" stopIfTrue="1">
      <formula>$A33&lt;1</formula>
    </cfRule>
  </conditionalFormatting>
  <conditionalFormatting sqref="T27:T45">
    <cfRule type="expression" dxfId="850" priority="800" stopIfTrue="1">
      <formula>$A27&lt;1</formula>
    </cfRule>
  </conditionalFormatting>
  <conditionalFormatting sqref="T33:T37">
    <cfRule type="expression" dxfId="849" priority="799" stopIfTrue="1">
      <formula>$A33&lt;1</formula>
    </cfRule>
  </conditionalFormatting>
  <conditionalFormatting sqref="T27:T45">
    <cfRule type="expression" dxfId="848" priority="798" stopIfTrue="1">
      <formula>$A27&lt;1</formula>
    </cfRule>
  </conditionalFormatting>
  <conditionalFormatting sqref="T33:T37">
    <cfRule type="expression" dxfId="847" priority="797" stopIfTrue="1">
      <formula>$A33&lt;1</formula>
    </cfRule>
  </conditionalFormatting>
  <conditionalFormatting sqref="T27:T45">
    <cfRule type="expression" dxfId="846" priority="796" stopIfTrue="1">
      <formula>$A27&lt;1</formula>
    </cfRule>
  </conditionalFormatting>
  <conditionalFormatting sqref="T33:T37">
    <cfRule type="expression" dxfId="845" priority="795" stopIfTrue="1">
      <formula>$A33&lt;1</formula>
    </cfRule>
  </conditionalFormatting>
  <conditionalFormatting sqref="T27:T45">
    <cfRule type="expression" dxfId="844" priority="794" stopIfTrue="1">
      <formula>$A27&lt;1</formula>
    </cfRule>
  </conditionalFormatting>
  <conditionalFormatting sqref="T33:T37">
    <cfRule type="expression" dxfId="843" priority="793" stopIfTrue="1">
      <formula>$A33&lt;1</formula>
    </cfRule>
  </conditionalFormatting>
  <conditionalFormatting sqref="T27:T45">
    <cfRule type="expression" dxfId="842" priority="792" stopIfTrue="1">
      <formula>$A27&lt;1</formula>
    </cfRule>
  </conditionalFormatting>
  <conditionalFormatting sqref="T33:T37">
    <cfRule type="expression" dxfId="841" priority="791" stopIfTrue="1">
      <formula>$A33&lt;1</formula>
    </cfRule>
  </conditionalFormatting>
  <conditionalFormatting sqref="T27:T45">
    <cfRule type="expression" dxfId="840" priority="790" stopIfTrue="1">
      <formula>$A27&lt;1</formula>
    </cfRule>
  </conditionalFormatting>
  <conditionalFormatting sqref="T33:T37">
    <cfRule type="expression" dxfId="839" priority="789" stopIfTrue="1">
      <formula>$A33&lt;1</formula>
    </cfRule>
  </conditionalFormatting>
  <conditionalFormatting sqref="T27:T45">
    <cfRule type="expression" dxfId="838" priority="788" stopIfTrue="1">
      <formula>$A27&lt;1</formula>
    </cfRule>
  </conditionalFormatting>
  <conditionalFormatting sqref="T33:T37">
    <cfRule type="expression" dxfId="837" priority="787" stopIfTrue="1">
      <formula>$A33&lt;1</formula>
    </cfRule>
  </conditionalFormatting>
  <conditionalFormatting sqref="T27:T45">
    <cfRule type="expression" dxfId="836" priority="786" stopIfTrue="1">
      <formula>$A27&lt;1</formula>
    </cfRule>
  </conditionalFormatting>
  <conditionalFormatting sqref="T33:T37">
    <cfRule type="expression" dxfId="835" priority="785" stopIfTrue="1">
      <formula>$A33&lt;1</formula>
    </cfRule>
  </conditionalFormatting>
  <conditionalFormatting sqref="T27:T45">
    <cfRule type="expression" dxfId="834" priority="784" stopIfTrue="1">
      <formula>$A27&lt;1</formula>
    </cfRule>
  </conditionalFormatting>
  <conditionalFormatting sqref="T33:T37">
    <cfRule type="expression" dxfId="833" priority="783" stopIfTrue="1">
      <formula>$A33&lt;1</formula>
    </cfRule>
  </conditionalFormatting>
  <conditionalFormatting sqref="T27:T45">
    <cfRule type="expression" dxfId="832" priority="782" stopIfTrue="1">
      <formula>$A27&lt;1</formula>
    </cfRule>
  </conditionalFormatting>
  <conditionalFormatting sqref="T33:T37">
    <cfRule type="expression" dxfId="831" priority="781" stopIfTrue="1">
      <formula>$A33&lt;1</formula>
    </cfRule>
  </conditionalFormatting>
  <conditionalFormatting sqref="T27:T45">
    <cfRule type="expression" dxfId="830" priority="780" stopIfTrue="1">
      <formula>$A27&lt;1</formula>
    </cfRule>
  </conditionalFormatting>
  <conditionalFormatting sqref="T33:T37">
    <cfRule type="expression" dxfId="829" priority="779" stopIfTrue="1">
      <formula>$A33&lt;1</formula>
    </cfRule>
  </conditionalFormatting>
  <conditionalFormatting sqref="T27:T45">
    <cfRule type="expression" dxfId="828" priority="778" stopIfTrue="1">
      <formula>$A27&lt;1</formula>
    </cfRule>
  </conditionalFormatting>
  <conditionalFormatting sqref="T33:T37">
    <cfRule type="expression" dxfId="827" priority="777" stopIfTrue="1">
      <formula>$A33&lt;1</formula>
    </cfRule>
  </conditionalFormatting>
  <conditionalFormatting sqref="T27:T45">
    <cfRule type="expression" dxfId="826" priority="776" stopIfTrue="1">
      <formula>$A27&lt;1</formula>
    </cfRule>
  </conditionalFormatting>
  <conditionalFormatting sqref="T33:T37">
    <cfRule type="expression" dxfId="825" priority="775" stopIfTrue="1">
      <formula>$A33&lt;1</formula>
    </cfRule>
  </conditionalFormatting>
  <conditionalFormatting sqref="T27:T45">
    <cfRule type="expression" dxfId="824" priority="774" stopIfTrue="1">
      <formula>$A27&lt;1</formula>
    </cfRule>
  </conditionalFormatting>
  <conditionalFormatting sqref="T33:T37">
    <cfRule type="expression" dxfId="823" priority="773" stopIfTrue="1">
      <formula>$A33&lt;1</formula>
    </cfRule>
  </conditionalFormatting>
  <conditionalFormatting sqref="T27:T45">
    <cfRule type="expression" dxfId="822" priority="772" stopIfTrue="1">
      <formula>$A27&lt;1</formula>
    </cfRule>
  </conditionalFormatting>
  <conditionalFormatting sqref="T33:T37">
    <cfRule type="expression" dxfId="821" priority="771" stopIfTrue="1">
      <formula>$A33&lt;1</formula>
    </cfRule>
  </conditionalFormatting>
  <conditionalFormatting sqref="T27:T45">
    <cfRule type="expression" dxfId="820" priority="770" stopIfTrue="1">
      <formula>$A27&lt;1</formula>
    </cfRule>
  </conditionalFormatting>
  <conditionalFormatting sqref="T33:T37">
    <cfRule type="expression" dxfId="819" priority="769" stopIfTrue="1">
      <formula>$A33&lt;1</formula>
    </cfRule>
  </conditionalFormatting>
  <conditionalFormatting sqref="T27:T45">
    <cfRule type="expression" dxfId="818" priority="768" stopIfTrue="1">
      <formula>$A27&lt;1</formula>
    </cfRule>
  </conditionalFormatting>
  <conditionalFormatting sqref="T33:T37">
    <cfRule type="expression" dxfId="817" priority="767" stopIfTrue="1">
      <formula>$A33&lt;1</formula>
    </cfRule>
  </conditionalFormatting>
  <conditionalFormatting sqref="T27:T45">
    <cfRule type="expression" dxfId="816" priority="766" stopIfTrue="1">
      <formula>$A27&lt;1</formula>
    </cfRule>
  </conditionalFormatting>
  <conditionalFormatting sqref="T33:T37">
    <cfRule type="expression" dxfId="815" priority="765" stopIfTrue="1">
      <formula>$A33&lt;1</formula>
    </cfRule>
  </conditionalFormatting>
  <conditionalFormatting sqref="T27:T45">
    <cfRule type="expression" dxfId="814" priority="764" stopIfTrue="1">
      <formula>$A27&lt;1</formula>
    </cfRule>
  </conditionalFormatting>
  <conditionalFormatting sqref="T33:T37">
    <cfRule type="expression" dxfId="813" priority="763" stopIfTrue="1">
      <formula>$A33&lt;1</formula>
    </cfRule>
  </conditionalFormatting>
  <conditionalFormatting sqref="T27:T45">
    <cfRule type="expression" dxfId="812" priority="762" stopIfTrue="1">
      <formula>$A27&lt;1</formula>
    </cfRule>
  </conditionalFormatting>
  <conditionalFormatting sqref="T33:T37">
    <cfRule type="expression" dxfId="811" priority="761" stopIfTrue="1">
      <formula>$A33&lt;1</formula>
    </cfRule>
  </conditionalFormatting>
  <conditionalFormatting sqref="T27:T45">
    <cfRule type="expression" dxfId="810" priority="760" stopIfTrue="1">
      <formula>$A27&lt;1</formula>
    </cfRule>
  </conditionalFormatting>
  <conditionalFormatting sqref="T33:T37">
    <cfRule type="expression" dxfId="809" priority="759" stopIfTrue="1">
      <formula>$A33&lt;1</formula>
    </cfRule>
  </conditionalFormatting>
  <conditionalFormatting sqref="T27:T45">
    <cfRule type="expression" dxfId="808" priority="758" stopIfTrue="1">
      <formula>$A27&lt;1</formula>
    </cfRule>
  </conditionalFormatting>
  <conditionalFormatting sqref="T33:T37">
    <cfRule type="expression" dxfId="807" priority="757" stopIfTrue="1">
      <formula>$A33&lt;1</formula>
    </cfRule>
  </conditionalFormatting>
  <conditionalFormatting sqref="T27:T45">
    <cfRule type="expression" dxfId="806" priority="756" stopIfTrue="1">
      <formula>$A27&lt;1</formula>
    </cfRule>
  </conditionalFormatting>
  <conditionalFormatting sqref="T33:T37">
    <cfRule type="expression" dxfId="805" priority="755" stopIfTrue="1">
      <formula>$A33&lt;1</formula>
    </cfRule>
  </conditionalFormatting>
  <conditionalFormatting sqref="T27:T45">
    <cfRule type="expression" dxfId="804" priority="754" stopIfTrue="1">
      <formula>$A27&lt;1</formula>
    </cfRule>
  </conditionalFormatting>
  <conditionalFormatting sqref="T33:T37">
    <cfRule type="expression" dxfId="803" priority="753" stopIfTrue="1">
      <formula>$A33&lt;1</formula>
    </cfRule>
  </conditionalFormatting>
  <conditionalFormatting sqref="T27:T45">
    <cfRule type="expression" dxfId="802" priority="752" stopIfTrue="1">
      <formula>$A27&lt;1</formula>
    </cfRule>
  </conditionalFormatting>
  <conditionalFormatting sqref="T33:T37">
    <cfRule type="expression" dxfId="801" priority="751" stopIfTrue="1">
      <formula>$A33&lt;1</formula>
    </cfRule>
  </conditionalFormatting>
  <conditionalFormatting sqref="T27:T45">
    <cfRule type="expression" dxfId="800" priority="750" stopIfTrue="1">
      <formula>$A27&lt;1</formula>
    </cfRule>
  </conditionalFormatting>
  <conditionalFormatting sqref="T33:T37">
    <cfRule type="expression" dxfId="799" priority="749" stopIfTrue="1">
      <formula>$A33&lt;1</formula>
    </cfRule>
  </conditionalFormatting>
  <conditionalFormatting sqref="T27:T45">
    <cfRule type="expression" dxfId="798" priority="748" stopIfTrue="1">
      <formula>$A27&lt;1</formula>
    </cfRule>
  </conditionalFormatting>
  <conditionalFormatting sqref="T33:T37">
    <cfRule type="expression" dxfId="797" priority="747" stopIfTrue="1">
      <formula>$A33&lt;1</formula>
    </cfRule>
  </conditionalFormatting>
  <conditionalFormatting sqref="T27:T45">
    <cfRule type="expression" dxfId="796" priority="746" stopIfTrue="1">
      <formula>$A27&lt;1</formula>
    </cfRule>
  </conditionalFormatting>
  <conditionalFormatting sqref="T33:T37">
    <cfRule type="expression" dxfId="795" priority="745" stopIfTrue="1">
      <formula>$A33&lt;1</formula>
    </cfRule>
  </conditionalFormatting>
  <conditionalFormatting sqref="T27:T45">
    <cfRule type="expression" dxfId="794" priority="744" stopIfTrue="1">
      <formula>$A27&lt;1</formula>
    </cfRule>
  </conditionalFormatting>
  <conditionalFormatting sqref="T33:T37">
    <cfRule type="expression" dxfId="793" priority="743" stopIfTrue="1">
      <formula>$A33&lt;1</formula>
    </cfRule>
  </conditionalFormatting>
  <conditionalFormatting sqref="T27:T45">
    <cfRule type="expression" dxfId="792" priority="742" stopIfTrue="1">
      <formula>$A27&lt;1</formula>
    </cfRule>
  </conditionalFormatting>
  <conditionalFormatting sqref="T33:T37">
    <cfRule type="expression" dxfId="791" priority="741" stopIfTrue="1">
      <formula>$A33&lt;1</formula>
    </cfRule>
  </conditionalFormatting>
  <conditionalFormatting sqref="T27:T45">
    <cfRule type="expression" dxfId="790" priority="740" stopIfTrue="1">
      <formula>$A27&lt;1</formula>
    </cfRule>
  </conditionalFormatting>
  <conditionalFormatting sqref="T33:T37">
    <cfRule type="expression" dxfId="789" priority="739" stopIfTrue="1">
      <formula>$A33&lt;1</formula>
    </cfRule>
  </conditionalFormatting>
  <conditionalFormatting sqref="T27:T45">
    <cfRule type="expression" dxfId="788" priority="738" stopIfTrue="1">
      <formula>$A27&lt;1</formula>
    </cfRule>
  </conditionalFormatting>
  <conditionalFormatting sqref="T33:T37">
    <cfRule type="expression" dxfId="787" priority="737" stopIfTrue="1">
      <formula>$A33&lt;1</formula>
    </cfRule>
  </conditionalFormatting>
  <conditionalFormatting sqref="T27:T45">
    <cfRule type="expression" dxfId="786" priority="736" stopIfTrue="1">
      <formula>$A27&lt;1</formula>
    </cfRule>
  </conditionalFormatting>
  <conditionalFormatting sqref="T33:T37">
    <cfRule type="expression" dxfId="785" priority="735" stopIfTrue="1">
      <formula>$A33&lt;1</formula>
    </cfRule>
  </conditionalFormatting>
  <conditionalFormatting sqref="T27:T45">
    <cfRule type="expression" dxfId="784" priority="734" stopIfTrue="1">
      <formula>$A27&lt;1</formula>
    </cfRule>
  </conditionalFormatting>
  <conditionalFormatting sqref="T33:T37">
    <cfRule type="expression" dxfId="783" priority="733" stopIfTrue="1">
      <formula>$A33&lt;1</formula>
    </cfRule>
  </conditionalFormatting>
  <conditionalFormatting sqref="T27:T45">
    <cfRule type="expression" dxfId="782" priority="732" stopIfTrue="1">
      <formula>$A27&lt;1</formula>
    </cfRule>
  </conditionalFormatting>
  <conditionalFormatting sqref="T33:T37">
    <cfRule type="expression" dxfId="781" priority="731" stopIfTrue="1">
      <formula>$A33&lt;1</formula>
    </cfRule>
  </conditionalFormatting>
  <conditionalFormatting sqref="T27:T45">
    <cfRule type="expression" dxfId="780" priority="730" stopIfTrue="1">
      <formula>$A27&lt;1</formula>
    </cfRule>
  </conditionalFormatting>
  <conditionalFormatting sqref="T33:T37">
    <cfRule type="expression" dxfId="779" priority="729" stopIfTrue="1">
      <formula>$A33&lt;1</formula>
    </cfRule>
  </conditionalFormatting>
  <conditionalFormatting sqref="T27:T45">
    <cfRule type="expression" dxfId="778" priority="728" stopIfTrue="1">
      <formula>$A27&lt;1</formula>
    </cfRule>
  </conditionalFormatting>
  <conditionalFormatting sqref="T33:T37">
    <cfRule type="expression" dxfId="777" priority="727" stopIfTrue="1">
      <formula>$A33&lt;1</formula>
    </cfRule>
  </conditionalFormatting>
  <conditionalFormatting sqref="T27:T45">
    <cfRule type="expression" dxfId="776" priority="726" stopIfTrue="1">
      <formula>$A27&lt;1</formula>
    </cfRule>
  </conditionalFormatting>
  <conditionalFormatting sqref="T33:T37">
    <cfRule type="expression" dxfId="775" priority="725" stopIfTrue="1">
      <formula>$A33&lt;1</formula>
    </cfRule>
  </conditionalFormatting>
  <conditionalFormatting sqref="T27:T45">
    <cfRule type="expression" dxfId="774" priority="724" stopIfTrue="1">
      <formula>$A27&lt;1</formula>
    </cfRule>
  </conditionalFormatting>
  <conditionalFormatting sqref="T33:T37">
    <cfRule type="expression" dxfId="773" priority="723" stopIfTrue="1">
      <formula>$A33&lt;1</formula>
    </cfRule>
  </conditionalFormatting>
  <conditionalFormatting sqref="T27:T45">
    <cfRule type="expression" dxfId="772" priority="722" stopIfTrue="1">
      <formula>$A27&lt;1</formula>
    </cfRule>
  </conditionalFormatting>
  <conditionalFormatting sqref="T33:T37">
    <cfRule type="expression" dxfId="771" priority="721" stopIfTrue="1">
      <formula>$A33&lt;1</formula>
    </cfRule>
  </conditionalFormatting>
  <conditionalFormatting sqref="T27:T45">
    <cfRule type="expression" dxfId="770" priority="720" stopIfTrue="1">
      <formula>$A27&lt;1</formula>
    </cfRule>
  </conditionalFormatting>
  <conditionalFormatting sqref="T33:T37">
    <cfRule type="expression" dxfId="769" priority="719" stopIfTrue="1">
      <formula>$A33&lt;1</formula>
    </cfRule>
  </conditionalFormatting>
  <conditionalFormatting sqref="T27:T45">
    <cfRule type="expression" dxfId="768" priority="718" stopIfTrue="1">
      <formula>$A27&lt;1</formula>
    </cfRule>
  </conditionalFormatting>
  <conditionalFormatting sqref="T33:T37">
    <cfRule type="expression" dxfId="767" priority="717" stopIfTrue="1">
      <formula>$A33&lt;1</formula>
    </cfRule>
  </conditionalFormatting>
  <conditionalFormatting sqref="T27:T45">
    <cfRule type="expression" dxfId="766" priority="716" stopIfTrue="1">
      <formula>$A27&lt;1</formula>
    </cfRule>
  </conditionalFormatting>
  <conditionalFormatting sqref="T33:T37">
    <cfRule type="expression" dxfId="765" priority="715" stopIfTrue="1">
      <formula>$A33&lt;1</formula>
    </cfRule>
  </conditionalFormatting>
  <conditionalFormatting sqref="T27:T45">
    <cfRule type="expression" dxfId="764" priority="714" stopIfTrue="1">
      <formula>$A27&lt;1</formula>
    </cfRule>
  </conditionalFormatting>
  <conditionalFormatting sqref="T33:T37">
    <cfRule type="expression" dxfId="763" priority="713" stopIfTrue="1">
      <formula>$A33&lt;1</formula>
    </cfRule>
  </conditionalFormatting>
  <conditionalFormatting sqref="T27:T45">
    <cfRule type="expression" dxfId="762" priority="712" stopIfTrue="1">
      <formula>$A27&lt;1</formula>
    </cfRule>
  </conditionalFormatting>
  <conditionalFormatting sqref="T33:T37">
    <cfRule type="expression" dxfId="761" priority="711" stopIfTrue="1">
      <formula>$A33&lt;1</formula>
    </cfRule>
  </conditionalFormatting>
  <conditionalFormatting sqref="T27:T45">
    <cfRule type="expression" dxfId="760" priority="710" stopIfTrue="1">
      <formula>$A27&lt;1</formula>
    </cfRule>
  </conditionalFormatting>
  <conditionalFormatting sqref="T33:T37">
    <cfRule type="expression" dxfId="759" priority="709" stopIfTrue="1">
      <formula>$A33&lt;1</formula>
    </cfRule>
  </conditionalFormatting>
  <conditionalFormatting sqref="T27:T45">
    <cfRule type="expression" dxfId="758" priority="708" stopIfTrue="1">
      <formula>$A27&lt;1</formula>
    </cfRule>
  </conditionalFormatting>
  <conditionalFormatting sqref="T33:T37">
    <cfRule type="expression" dxfId="757" priority="707" stopIfTrue="1">
      <formula>$A33&lt;1</formula>
    </cfRule>
  </conditionalFormatting>
  <conditionalFormatting sqref="T27:T45">
    <cfRule type="expression" dxfId="756" priority="706" stopIfTrue="1">
      <formula>$A27&lt;1</formula>
    </cfRule>
  </conditionalFormatting>
  <conditionalFormatting sqref="T33:T37">
    <cfRule type="expression" dxfId="755" priority="705" stopIfTrue="1">
      <formula>$A33&lt;1</formula>
    </cfRule>
  </conditionalFormatting>
  <conditionalFormatting sqref="T27:T45">
    <cfRule type="expression" dxfId="754" priority="704" stopIfTrue="1">
      <formula>$A27&lt;1</formula>
    </cfRule>
  </conditionalFormatting>
  <conditionalFormatting sqref="T33:T37">
    <cfRule type="expression" dxfId="753" priority="703" stopIfTrue="1">
      <formula>$A33&lt;1</formula>
    </cfRule>
  </conditionalFormatting>
  <conditionalFormatting sqref="T27:T45">
    <cfRule type="expression" dxfId="752" priority="702" stopIfTrue="1">
      <formula>$A27&lt;1</formula>
    </cfRule>
  </conditionalFormatting>
  <conditionalFormatting sqref="T33:T37">
    <cfRule type="expression" dxfId="751" priority="701" stopIfTrue="1">
      <formula>$A33&lt;1</formula>
    </cfRule>
  </conditionalFormatting>
  <conditionalFormatting sqref="T27:T45">
    <cfRule type="expression" dxfId="750" priority="700" stopIfTrue="1">
      <formula>$A27&lt;1</formula>
    </cfRule>
  </conditionalFormatting>
  <conditionalFormatting sqref="T33:T37">
    <cfRule type="expression" dxfId="749" priority="699" stopIfTrue="1">
      <formula>$A33&lt;1</formula>
    </cfRule>
  </conditionalFormatting>
  <conditionalFormatting sqref="T27:T45">
    <cfRule type="expression" dxfId="748" priority="698" stopIfTrue="1">
      <formula>$A27&lt;1</formula>
    </cfRule>
  </conditionalFormatting>
  <conditionalFormatting sqref="T33:T37">
    <cfRule type="expression" dxfId="747" priority="697" stopIfTrue="1">
      <formula>$A33&lt;1</formula>
    </cfRule>
  </conditionalFormatting>
  <conditionalFormatting sqref="T27:T45">
    <cfRule type="expression" dxfId="746" priority="696" stopIfTrue="1">
      <formula>$A27&lt;1</formula>
    </cfRule>
  </conditionalFormatting>
  <conditionalFormatting sqref="T33:T37">
    <cfRule type="expression" dxfId="745" priority="695" stopIfTrue="1">
      <formula>$A33&lt;1</formula>
    </cfRule>
  </conditionalFormatting>
  <conditionalFormatting sqref="T27:T45">
    <cfRule type="expression" dxfId="744" priority="694" stopIfTrue="1">
      <formula>$A27&lt;1</formula>
    </cfRule>
  </conditionalFormatting>
  <conditionalFormatting sqref="T33:T37">
    <cfRule type="expression" dxfId="743" priority="693" stopIfTrue="1">
      <formula>$A33&lt;1</formula>
    </cfRule>
  </conditionalFormatting>
  <conditionalFormatting sqref="T27:T45">
    <cfRule type="expression" dxfId="742" priority="692" stopIfTrue="1">
      <formula>$A27&lt;1</formula>
    </cfRule>
  </conditionalFormatting>
  <conditionalFormatting sqref="T33:T37">
    <cfRule type="expression" dxfId="741" priority="691" stopIfTrue="1">
      <formula>$A33&lt;1</formula>
    </cfRule>
  </conditionalFormatting>
  <conditionalFormatting sqref="T27:T45">
    <cfRule type="expression" dxfId="740" priority="690" stopIfTrue="1">
      <formula>$A27&lt;1</formula>
    </cfRule>
  </conditionalFormatting>
  <conditionalFormatting sqref="T33:T37">
    <cfRule type="expression" dxfId="739" priority="689" stopIfTrue="1">
      <formula>$A33&lt;1</formula>
    </cfRule>
  </conditionalFormatting>
  <conditionalFormatting sqref="T27:T45">
    <cfRule type="expression" dxfId="738" priority="688" stopIfTrue="1">
      <formula>$A27&lt;1</formula>
    </cfRule>
  </conditionalFormatting>
  <conditionalFormatting sqref="T33:T37">
    <cfRule type="expression" dxfId="737" priority="687" stopIfTrue="1">
      <formula>$A33&lt;1</formula>
    </cfRule>
  </conditionalFormatting>
  <conditionalFormatting sqref="T27:T45">
    <cfRule type="expression" dxfId="736" priority="686" stopIfTrue="1">
      <formula>$A27&lt;1</formula>
    </cfRule>
  </conditionalFormatting>
  <conditionalFormatting sqref="T33:T37">
    <cfRule type="expression" dxfId="735" priority="685" stopIfTrue="1">
      <formula>$A33&lt;1</formula>
    </cfRule>
  </conditionalFormatting>
  <conditionalFormatting sqref="T27:T45">
    <cfRule type="expression" dxfId="734" priority="684" stopIfTrue="1">
      <formula>$A27&lt;1</formula>
    </cfRule>
  </conditionalFormatting>
  <conditionalFormatting sqref="T33:T37">
    <cfRule type="expression" dxfId="733" priority="683" stopIfTrue="1">
      <formula>$A33&lt;1</formula>
    </cfRule>
  </conditionalFormatting>
  <conditionalFormatting sqref="T27:T45">
    <cfRule type="expression" dxfId="732" priority="682" stopIfTrue="1">
      <formula>$A27&lt;1</formula>
    </cfRule>
  </conditionalFormatting>
  <conditionalFormatting sqref="T33:T37">
    <cfRule type="expression" dxfId="731" priority="681" stopIfTrue="1">
      <formula>$A33&lt;1</formula>
    </cfRule>
  </conditionalFormatting>
  <conditionalFormatting sqref="T27:T45">
    <cfRule type="expression" dxfId="730" priority="680" stopIfTrue="1">
      <formula>$A27&lt;1</formula>
    </cfRule>
  </conditionalFormatting>
  <conditionalFormatting sqref="T33:T37">
    <cfRule type="expression" dxfId="729" priority="679" stopIfTrue="1">
      <formula>$A33&lt;1</formula>
    </cfRule>
  </conditionalFormatting>
  <conditionalFormatting sqref="T27:T45">
    <cfRule type="expression" dxfId="728" priority="678" stopIfTrue="1">
      <formula>$A27&lt;1</formula>
    </cfRule>
  </conditionalFormatting>
  <conditionalFormatting sqref="T33:T37">
    <cfRule type="expression" dxfId="727" priority="677" stopIfTrue="1">
      <formula>$A33&lt;1</formula>
    </cfRule>
  </conditionalFormatting>
  <conditionalFormatting sqref="T27:T45">
    <cfRule type="expression" dxfId="726" priority="676" stopIfTrue="1">
      <formula>$A27&lt;1</formula>
    </cfRule>
  </conditionalFormatting>
  <conditionalFormatting sqref="T33:T37">
    <cfRule type="expression" dxfId="725" priority="675" stopIfTrue="1">
      <formula>$A33&lt;1</formula>
    </cfRule>
  </conditionalFormatting>
  <conditionalFormatting sqref="T27:T45">
    <cfRule type="expression" dxfId="724" priority="674" stopIfTrue="1">
      <formula>$A27&lt;1</formula>
    </cfRule>
  </conditionalFormatting>
  <conditionalFormatting sqref="T33:T37">
    <cfRule type="expression" dxfId="723" priority="673" stopIfTrue="1">
      <formula>$A33&lt;1</formula>
    </cfRule>
  </conditionalFormatting>
  <conditionalFormatting sqref="T27:T45">
    <cfRule type="expression" dxfId="722" priority="672" stopIfTrue="1">
      <formula>$A27&lt;1</formula>
    </cfRule>
  </conditionalFormatting>
  <conditionalFormatting sqref="T33:T37">
    <cfRule type="expression" dxfId="721" priority="671" stopIfTrue="1">
      <formula>$A33&lt;1</formula>
    </cfRule>
  </conditionalFormatting>
  <conditionalFormatting sqref="T27:T45">
    <cfRule type="expression" dxfId="720" priority="670" stopIfTrue="1">
      <formula>$A27&lt;1</formula>
    </cfRule>
  </conditionalFormatting>
  <conditionalFormatting sqref="T33:T37">
    <cfRule type="expression" dxfId="719" priority="669" stopIfTrue="1">
      <formula>$A33&lt;1</formula>
    </cfRule>
  </conditionalFormatting>
  <conditionalFormatting sqref="T27:T45">
    <cfRule type="expression" dxfId="718" priority="668" stopIfTrue="1">
      <formula>$A27&lt;1</formula>
    </cfRule>
  </conditionalFormatting>
  <conditionalFormatting sqref="T33:T37">
    <cfRule type="expression" dxfId="717" priority="667" stopIfTrue="1">
      <formula>$A33&lt;1</formula>
    </cfRule>
  </conditionalFormatting>
  <conditionalFormatting sqref="T27:T45">
    <cfRule type="expression" dxfId="716" priority="666" stopIfTrue="1">
      <formula>$A27&lt;1</formula>
    </cfRule>
  </conditionalFormatting>
  <conditionalFormatting sqref="T33:T37">
    <cfRule type="expression" dxfId="715" priority="665" stopIfTrue="1">
      <formula>$A33&lt;1</formula>
    </cfRule>
  </conditionalFormatting>
  <conditionalFormatting sqref="T27:T45">
    <cfRule type="expression" dxfId="714" priority="664" stopIfTrue="1">
      <formula>$A27&lt;1</formula>
    </cfRule>
  </conditionalFormatting>
  <conditionalFormatting sqref="T33:T37">
    <cfRule type="expression" dxfId="713" priority="663" stopIfTrue="1">
      <formula>$A33&lt;1</formula>
    </cfRule>
  </conditionalFormatting>
  <conditionalFormatting sqref="T27:T45">
    <cfRule type="expression" dxfId="712" priority="662" stopIfTrue="1">
      <formula>$A27&lt;1</formula>
    </cfRule>
  </conditionalFormatting>
  <conditionalFormatting sqref="T33:T37">
    <cfRule type="expression" dxfId="711" priority="661" stopIfTrue="1">
      <formula>$A33&lt;1</formula>
    </cfRule>
  </conditionalFormatting>
  <conditionalFormatting sqref="T27:T45">
    <cfRule type="expression" dxfId="710" priority="660" stopIfTrue="1">
      <formula>$A27&lt;1</formula>
    </cfRule>
  </conditionalFormatting>
  <conditionalFormatting sqref="T33:T37">
    <cfRule type="expression" dxfId="709" priority="659" stopIfTrue="1">
      <formula>$A33&lt;1</formula>
    </cfRule>
  </conditionalFormatting>
  <conditionalFormatting sqref="T27:T45">
    <cfRule type="expression" dxfId="708" priority="658" stopIfTrue="1">
      <formula>$A27&lt;1</formula>
    </cfRule>
  </conditionalFormatting>
  <conditionalFormatting sqref="T33:T37">
    <cfRule type="expression" dxfId="707" priority="657" stopIfTrue="1">
      <formula>$A33&lt;1</formula>
    </cfRule>
  </conditionalFormatting>
  <conditionalFormatting sqref="T27:T45">
    <cfRule type="expression" dxfId="706" priority="656" stopIfTrue="1">
      <formula>$A27&lt;1</formula>
    </cfRule>
  </conditionalFormatting>
  <conditionalFormatting sqref="T33:T37">
    <cfRule type="expression" dxfId="705" priority="655" stopIfTrue="1">
      <formula>$A33&lt;1</formula>
    </cfRule>
  </conditionalFormatting>
  <conditionalFormatting sqref="T27:T45">
    <cfRule type="expression" dxfId="704" priority="654" stopIfTrue="1">
      <formula>$A27&lt;1</formula>
    </cfRule>
  </conditionalFormatting>
  <conditionalFormatting sqref="T33:T37">
    <cfRule type="expression" dxfId="703" priority="653" stopIfTrue="1">
      <formula>$A33&lt;1</formula>
    </cfRule>
  </conditionalFormatting>
  <conditionalFormatting sqref="T27:T45">
    <cfRule type="expression" dxfId="702" priority="652" stopIfTrue="1">
      <formula>$A27&lt;1</formula>
    </cfRule>
  </conditionalFormatting>
  <conditionalFormatting sqref="T33:T37">
    <cfRule type="expression" dxfId="701" priority="651" stopIfTrue="1">
      <formula>$A33&lt;1</formula>
    </cfRule>
  </conditionalFormatting>
  <conditionalFormatting sqref="T27:T45">
    <cfRule type="expression" dxfId="700" priority="650" stopIfTrue="1">
      <formula>$A27&lt;1</formula>
    </cfRule>
  </conditionalFormatting>
  <conditionalFormatting sqref="T33:T37">
    <cfRule type="expression" dxfId="699" priority="649" stopIfTrue="1">
      <formula>$A33&lt;1</formula>
    </cfRule>
  </conditionalFormatting>
  <conditionalFormatting sqref="T27:T45">
    <cfRule type="expression" dxfId="698" priority="648" stopIfTrue="1">
      <formula>$A27&lt;1</formula>
    </cfRule>
  </conditionalFormatting>
  <conditionalFormatting sqref="T33:T37">
    <cfRule type="expression" dxfId="697" priority="647" stopIfTrue="1">
      <formula>$A33&lt;1</formula>
    </cfRule>
  </conditionalFormatting>
  <conditionalFormatting sqref="T27:T45">
    <cfRule type="expression" dxfId="696" priority="646" stopIfTrue="1">
      <formula>$A27&lt;1</formula>
    </cfRule>
  </conditionalFormatting>
  <conditionalFormatting sqref="T33:T37">
    <cfRule type="expression" dxfId="695" priority="645" stopIfTrue="1">
      <formula>$A33&lt;1</formula>
    </cfRule>
  </conditionalFormatting>
  <conditionalFormatting sqref="T27:T45">
    <cfRule type="expression" dxfId="694" priority="644" stopIfTrue="1">
      <formula>$A27&lt;1</formula>
    </cfRule>
  </conditionalFormatting>
  <conditionalFormatting sqref="T33:T37">
    <cfRule type="expression" dxfId="693" priority="643" stopIfTrue="1">
      <formula>$A33&lt;1</formula>
    </cfRule>
  </conditionalFormatting>
  <conditionalFormatting sqref="T27:T45">
    <cfRule type="expression" dxfId="692" priority="642" stopIfTrue="1">
      <formula>$A27&lt;1</formula>
    </cfRule>
  </conditionalFormatting>
  <conditionalFormatting sqref="T33:T37">
    <cfRule type="expression" dxfId="691" priority="641" stopIfTrue="1">
      <formula>$A33&lt;1</formula>
    </cfRule>
  </conditionalFormatting>
  <conditionalFormatting sqref="T27:T45">
    <cfRule type="expression" dxfId="690" priority="640" stopIfTrue="1">
      <formula>$A27&lt;1</formula>
    </cfRule>
  </conditionalFormatting>
  <conditionalFormatting sqref="T33:T37">
    <cfRule type="expression" dxfId="689" priority="639" stopIfTrue="1">
      <formula>$A33&lt;1</formula>
    </cfRule>
  </conditionalFormatting>
  <conditionalFormatting sqref="T27:T45">
    <cfRule type="expression" dxfId="688" priority="638" stopIfTrue="1">
      <formula>$A27&lt;1</formula>
    </cfRule>
  </conditionalFormatting>
  <conditionalFormatting sqref="T33:T37">
    <cfRule type="expression" dxfId="687" priority="637" stopIfTrue="1">
      <formula>$A33&lt;1</formula>
    </cfRule>
  </conditionalFormatting>
  <conditionalFormatting sqref="T27:T45">
    <cfRule type="expression" dxfId="686" priority="636" stopIfTrue="1">
      <formula>$A27&lt;1</formula>
    </cfRule>
  </conditionalFormatting>
  <conditionalFormatting sqref="T33:T37">
    <cfRule type="expression" dxfId="685" priority="635" stopIfTrue="1">
      <formula>$A33&lt;1</formula>
    </cfRule>
  </conditionalFormatting>
  <conditionalFormatting sqref="T27:T45">
    <cfRule type="expression" dxfId="684" priority="634" stopIfTrue="1">
      <formula>$A27&lt;1</formula>
    </cfRule>
  </conditionalFormatting>
  <conditionalFormatting sqref="T33:T37">
    <cfRule type="expression" dxfId="683" priority="633" stopIfTrue="1">
      <formula>$A33&lt;1</formula>
    </cfRule>
  </conditionalFormatting>
  <conditionalFormatting sqref="T27:T45">
    <cfRule type="expression" dxfId="682" priority="632" stopIfTrue="1">
      <formula>$A27&lt;1</formula>
    </cfRule>
  </conditionalFormatting>
  <conditionalFormatting sqref="T33:T37">
    <cfRule type="expression" dxfId="681" priority="631" stopIfTrue="1">
      <formula>$A33&lt;1</formula>
    </cfRule>
  </conditionalFormatting>
  <conditionalFormatting sqref="T27:T45">
    <cfRule type="expression" dxfId="680" priority="630" stopIfTrue="1">
      <formula>$A27&lt;1</formula>
    </cfRule>
  </conditionalFormatting>
  <conditionalFormatting sqref="T33:T37">
    <cfRule type="expression" dxfId="679" priority="629" stopIfTrue="1">
      <formula>$A33&lt;1</formula>
    </cfRule>
  </conditionalFormatting>
  <conditionalFormatting sqref="T27:T45">
    <cfRule type="expression" dxfId="678" priority="628" stopIfTrue="1">
      <formula>$A27&lt;1</formula>
    </cfRule>
  </conditionalFormatting>
  <conditionalFormatting sqref="T33:T37">
    <cfRule type="expression" dxfId="677" priority="627" stopIfTrue="1">
      <formula>$A33&lt;1</formula>
    </cfRule>
  </conditionalFormatting>
  <conditionalFormatting sqref="T27:T45">
    <cfRule type="expression" dxfId="676" priority="626" stopIfTrue="1">
      <formula>$A27&lt;1</formula>
    </cfRule>
  </conditionalFormatting>
  <conditionalFormatting sqref="T33:T37">
    <cfRule type="expression" dxfId="675" priority="625" stopIfTrue="1">
      <formula>$A33&lt;1</formula>
    </cfRule>
  </conditionalFormatting>
  <conditionalFormatting sqref="T27:T45">
    <cfRule type="expression" dxfId="674" priority="624" stopIfTrue="1">
      <formula>$A27&lt;1</formula>
    </cfRule>
  </conditionalFormatting>
  <conditionalFormatting sqref="T33:T37">
    <cfRule type="expression" dxfId="673" priority="623" stopIfTrue="1">
      <formula>$A33&lt;1</formula>
    </cfRule>
  </conditionalFormatting>
  <conditionalFormatting sqref="T27:T45">
    <cfRule type="expression" dxfId="672" priority="622" stopIfTrue="1">
      <formula>$A27&lt;1</formula>
    </cfRule>
  </conditionalFormatting>
  <conditionalFormatting sqref="T33:T37">
    <cfRule type="expression" dxfId="671" priority="621" stopIfTrue="1">
      <formula>$A33&lt;1</formula>
    </cfRule>
  </conditionalFormatting>
  <conditionalFormatting sqref="T27:T45">
    <cfRule type="expression" dxfId="670" priority="620" stopIfTrue="1">
      <formula>$A27&lt;1</formula>
    </cfRule>
  </conditionalFormatting>
  <conditionalFormatting sqref="T33:T37">
    <cfRule type="expression" dxfId="669" priority="619" stopIfTrue="1">
      <formula>$A33&lt;1</formula>
    </cfRule>
  </conditionalFormatting>
  <conditionalFormatting sqref="T27:T45">
    <cfRule type="expression" dxfId="668" priority="618" stopIfTrue="1">
      <formula>$A27&lt;1</formula>
    </cfRule>
  </conditionalFormatting>
  <conditionalFormatting sqref="T33:T37">
    <cfRule type="expression" dxfId="667" priority="617" stopIfTrue="1">
      <formula>$A33&lt;1</formula>
    </cfRule>
  </conditionalFormatting>
  <conditionalFormatting sqref="T27:T45">
    <cfRule type="expression" dxfId="666" priority="616" stopIfTrue="1">
      <formula>$A27&lt;1</formula>
    </cfRule>
  </conditionalFormatting>
  <conditionalFormatting sqref="T33:T37">
    <cfRule type="expression" dxfId="665" priority="615" stopIfTrue="1">
      <formula>$A33&lt;1</formula>
    </cfRule>
  </conditionalFormatting>
  <conditionalFormatting sqref="T27:T45">
    <cfRule type="expression" dxfId="664" priority="614" stopIfTrue="1">
      <formula>$A27&lt;1</formula>
    </cfRule>
  </conditionalFormatting>
  <conditionalFormatting sqref="T33:T37">
    <cfRule type="expression" dxfId="663" priority="613" stopIfTrue="1">
      <formula>$A33&lt;1</formula>
    </cfRule>
  </conditionalFormatting>
  <conditionalFormatting sqref="T27:T45">
    <cfRule type="expression" dxfId="662" priority="612" stopIfTrue="1">
      <formula>$A27&lt;1</formula>
    </cfRule>
  </conditionalFormatting>
  <conditionalFormatting sqref="T33:T37">
    <cfRule type="expression" dxfId="661" priority="611" stopIfTrue="1">
      <formula>$A33&lt;1</formula>
    </cfRule>
  </conditionalFormatting>
  <conditionalFormatting sqref="T27:T45">
    <cfRule type="expression" dxfId="660" priority="610" stopIfTrue="1">
      <formula>$A27&lt;1</formula>
    </cfRule>
  </conditionalFormatting>
  <conditionalFormatting sqref="T33:T37">
    <cfRule type="expression" dxfId="659" priority="609" stopIfTrue="1">
      <formula>$A33&lt;1</formula>
    </cfRule>
  </conditionalFormatting>
  <conditionalFormatting sqref="T27:T45">
    <cfRule type="expression" dxfId="658" priority="608" stopIfTrue="1">
      <formula>$A27&lt;1</formula>
    </cfRule>
  </conditionalFormatting>
  <conditionalFormatting sqref="T33:T37">
    <cfRule type="expression" dxfId="657" priority="607" stopIfTrue="1">
      <formula>$A33&lt;1</formula>
    </cfRule>
  </conditionalFormatting>
  <conditionalFormatting sqref="T27:T45">
    <cfRule type="expression" dxfId="656" priority="606" stopIfTrue="1">
      <formula>$A27&lt;1</formula>
    </cfRule>
  </conditionalFormatting>
  <conditionalFormatting sqref="T33:T37">
    <cfRule type="expression" dxfId="655" priority="605" stopIfTrue="1">
      <formula>$A33&lt;1</formula>
    </cfRule>
  </conditionalFormatting>
  <conditionalFormatting sqref="T27:T45">
    <cfRule type="expression" dxfId="654" priority="604" stopIfTrue="1">
      <formula>$A27&lt;1</formula>
    </cfRule>
  </conditionalFormatting>
  <conditionalFormatting sqref="T33:T37">
    <cfRule type="expression" dxfId="653" priority="603" stopIfTrue="1">
      <formula>$A33&lt;1</formula>
    </cfRule>
  </conditionalFormatting>
  <conditionalFormatting sqref="T27:T45">
    <cfRule type="expression" dxfId="652" priority="602" stopIfTrue="1">
      <formula>$A27&lt;1</formula>
    </cfRule>
  </conditionalFormatting>
  <conditionalFormatting sqref="T33:T37">
    <cfRule type="expression" dxfId="651" priority="601" stopIfTrue="1">
      <formula>$A33&lt;1</formula>
    </cfRule>
  </conditionalFormatting>
  <conditionalFormatting sqref="T27:T45">
    <cfRule type="expression" dxfId="650" priority="600" stopIfTrue="1">
      <formula>$A27&lt;1</formula>
    </cfRule>
  </conditionalFormatting>
  <conditionalFormatting sqref="T33:T37">
    <cfRule type="expression" dxfId="649" priority="599" stopIfTrue="1">
      <formula>$A33&lt;1</formula>
    </cfRule>
  </conditionalFormatting>
  <conditionalFormatting sqref="T27:T45">
    <cfRule type="expression" dxfId="648" priority="598" stopIfTrue="1">
      <formula>$A27&lt;1</formula>
    </cfRule>
  </conditionalFormatting>
  <conditionalFormatting sqref="T33:T37">
    <cfRule type="expression" dxfId="647" priority="597" stopIfTrue="1">
      <formula>$A33&lt;1</formula>
    </cfRule>
  </conditionalFormatting>
  <conditionalFormatting sqref="T27:T45">
    <cfRule type="expression" dxfId="646" priority="596" stopIfTrue="1">
      <formula>$A27&lt;1</formula>
    </cfRule>
  </conditionalFormatting>
  <conditionalFormatting sqref="T33:T37">
    <cfRule type="expression" dxfId="645" priority="595" stopIfTrue="1">
      <formula>$A33&lt;1</formula>
    </cfRule>
  </conditionalFormatting>
  <conditionalFormatting sqref="T27:T45">
    <cfRule type="expression" dxfId="644" priority="594" stopIfTrue="1">
      <formula>$A27&lt;1</formula>
    </cfRule>
  </conditionalFormatting>
  <conditionalFormatting sqref="T33:T37">
    <cfRule type="expression" dxfId="643" priority="593" stopIfTrue="1">
      <formula>$A33&lt;1</formula>
    </cfRule>
  </conditionalFormatting>
  <conditionalFormatting sqref="T27:T45">
    <cfRule type="expression" dxfId="642" priority="592" stopIfTrue="1">
      <formula>$A27&lt;1</formula>
    </cfRule>
  </conditionalFormatting>
  <conditionalFormatting sqref="T33:T37">
    <cfRule type="expression" dxfId="641" priority="591" stopIfTrue="1">
      <formula>$A33&lt;1</formula>
    </cfRule>
  </conditionalFormatting>
  <conditionalFormatting sqref="T27:T45">
    <cfRule type="expression" dxfId="640" priority="590" stopIfTrue="1">
      <formula>$A27&lt;1</formula>
    </cfRule>
  </conditionalFormatting>
  <conditionalFormatting sqref="T33:T37">
    <cfRule type="expression" dxfId="639" priority="589" stopIfTrue="1">
      <formula>$A33&lt;1</formula>
    </cfRule>
  </conditionalFormatting>
  <conditionalFormatting sqref="T27:T45">
    <cfRule type="expression" dxfId="638" priority="588" stopIfTrue="1">
      <formula>$A27&lt;1</formula>
    </cfRule>
  </conditionalFormatting>
  <conditionalFormatting sqref="T33:T37">
    <cfRule type="expression" dxfId="637" priority="587" stopIfTrue="1">
      <formula>$A33&lt;1</formula>
    </cfRule>
  </conditionalFormatting>
  <conditionalFormatting sqref="T27:T45">
    <cfRule type="expression" dxfId="636" priority="586" stopIfTrue="1">
      <formula>$A27&lt;1</formula>
    </cfRule>
  </conditionalFormatting>
  <conditionalFormatting sqref="T33:T37">
    <cfRule type="expression" dxfId="635" priority="585" stopIfTrue="1">
      <formula>$A33&lt;1</formula>
    </cfRule>
  </conditionalFormatting>
  <conditionalFormatting sqref="T27:T45">
    <cfRule type="expression" dxfId="634" priority="584" stopIfTrue="1">
      <formula>$A27&lt;1</formula>
    </cfRule>
  </conditionalFormatting>
  <conditionalFormatting sqref="T33:T37">
    <cfRule type="expression" dxfId="633" priority="583" stopIfTrue="1">
      <formula>$A33&lt;1</formula>
    </cfRule>
  </conditionalFormatting>
  <conditionalFormatting sqref="T27:T45">
    <cfRule type="expression" dxfId="632" priority="582" stopIfTrue="1">
      <formula>$A27&lt;1</formula>
    </cfRule>
  </conditionalFormatting>
  <conditionalFormatting sqref="T33:T37">
    <cfRule type="expression" dxfId="631" priority="581" stopIfTrue="1">
      <formula>$A33&lt;1</formula>
    </cfRule>
  </conditionalFormatting>
  <conditionalFormatting sqref="T27:T45">
    <cfRule type="expression" dxfId="630" priority="580" stopIfTrue="1">
      <formula>$A27&lt;1</formula>
    </cfRule>
  </conditionalFormatting>
  <conditionalFormatting sqref="T33:T37">
    <cfRule type="expression" dxfId="629" priority="579" stopIfTrue="1">
      <formula>$A33&lt;1</formula>
    </cfRule>
  </conditionalFormatting>
  <conditionalFormatting sqref="T27:T45">
    <cfRule type="expression" dxfId="628" priority="578" stopIfTrue="1">
      <formula>$A27&lt;1</formula>
    </cfRule>
  </conditionalFormatting>
  <conditionalFormatting sqref="T33:T37">
    <cfRule type="expression" dxfId="627" priority="577" stopIfTrue="1">
      <formula>$A33&lt;1</formula>
    </cfRule>
  </conditionalFormatting>
  <conditionalFormatting sqref="T27:T45">
    <cfRule type="expression" dxfId="626" priority="576" stopIfTrue="1">
      <formula>$A27&lt;1</formula>
    </cfRule>
  </conditionalFormatting>
  <conditionalFormatting sqref="T33:T37">
    <cfRule type="expression" dxfId="625" priority="575" stopIfTrue="1">
      <formula>$A33&lt;1</formula>
    </cfRule>
  </conditionalFormatting>
  <conditionalFormatting sqref="T27:T45">
    <cfRule type="expression" dxfId="624" priority="574" stopIfTrue="1">
      <formula>$A27&lt;1</formula>
    </cfRule>
  </conditionalFormatting>
  <conditionalFormatting sqref="T33:T37">
    <cfRule type="expression" dxfId="623" priority="573" stopIfTrue="1">
      <formula>$A33&lt;1</formula>
    </cfRule>
  </conditionalFormatting>
  <conditionalFormatting sqref="T27:T45">
    <cfRule type="expression" dxfId="622" priority="572" stopIfTrue="1">
      <formula>$A27&lt;1</formula>
    </cfRule>
  </conditionalFormatting>
  <conditionalFormatting sqref="T33:T37">
    <cfRule type="expression" dxfId="621" priority="571" stopIfTrue="1">
      <formula>$A33&lt;1</formula>
    </cfRule>
  </conditionalFormatting>
  <conditionalFormatting sqref="T27:T45">
    <cfRule type="expression" dxfId="620" priority="570" stopIfTrue="1">
      <formula>$A27&lt;1</formula>
    </cfRule>
  </conditionalFormatting>
  <conditionalFormatting sqref="T33:T37">
    <cfRule type="expression" dxfId="619" priority="569" stopIfTrue="1">
      <formula>$A33&lt;1</formula>
    </cfRule>
  </conditionalFormatting>
  <conditionalFormatting sqref="T27:T45">
    <cfRule type="expression" dxfId="618" priority="568" stopIfTrue="1">
      <formula>$A27&lt;1</formula>
    </cfRule>
  </conditionalFormatting>
  <conditionalFormatting sqref="T33:T37">
    <cfRule type="expression" dxfId="617" priority="567" stopIfTrue="1">
      <formula>$A33&lt;1</formula>
    </cfRule>
  </conditionalFormatting>
  <conditionalFormatting sqref="T27:T45">
    <cfRule type="expression" dxfId="616" priority="566" stopIfTrue="1">
      <formula>$A27&lt;1</formula>
    </cfRule>
  </conditionalFormatting>
  <conditionalFormatting sqref="T33:T37">
    <cfRule type="expression" dxfId="615" priority="565" stopIfTrue="1">
      <formula>$A33&lt;1</formula>
    </cfRule>
  </conditionalFormatting>
  <conditionalFormatting sqref="T27:T45">
    <cfRule type="expression" dxfId="614" priority="564" stopIfTrue="1">
      <formula>$A27&lt;1</formula>
    </cfRule>
  </conditionalFormatting>
  <conditionalFormatting sqref="T33:T37">
    <cfRule type="expression" dxfId="613" priority="563" stopIfTrue="1">
      <formula>$A33&lt;1</formula>
    </cfRule>
  </conditionalFormatting>
  <conditionalFormatting sqref="T27:T45">
    <cfRule type="expression" dxfId="612" priority="562" stopIfTrue="1">
      <formula>$A27&lt;1</formula>
    </cfRule>
  </conditionalFormatting>
  <conditionalFormatting sqref="T33:T37">
    <cfRule type="expression" dxfId="611" priority="561" stopIfTrue="1">
      <formula>$A33&lt;1</formula>
    </cfRule>
  </conditionalFormatting>
  <conditionalFormatting sqref="T27:T45">
    <cfRule type="expression" dxfId="610" priority="560" stopIfTrue="1">
      <formula>$A27&lt;1</formula>
    </cfRule>
  </conditionalFormatting>
  <conditionalFormatting sqref="T33:T37">
    <cfRule type="expression" dxfId="609" priority="559" stopIfTrue="1">
      <formula>$A33&lt;1</formula>
    </cfRule>
  </conditionalFormatting>
  <conditionalFormatting sqref="T27:T45">
    <cfRule type="expression" dxfId="608" priority="558" stopIfTrue="1">
      <formula>$A27&lt;1</formula>
    </cfRule>
  </conditionalFormatting>
  <conditionalFormatting sqref="T33:T37">
    <cfRule type="expression" dxfId="607" priority="557" stopIfTrue="1">
      <formula>$A33&lt;1</formula>
    </cfRule>
  </conditionalFormatting>
  <conditionalFormatting sqref="T27:T45">
    <cfRule type="expression" dxfId="606" priority="556" stopIfTrue="1">
      <formula>$A27&lt;1</formula>
    </cfRule>
  </conditionalFormatting>
  <conditionalFormatting sqref="T33:T37">
    <cfRule type="expression" dxfId="605" priority="555" stopIfTrue="1">
      <formula>$A33&lt;1</formula>
    </cfRule>
  </conditionalFormatting>
  <conditionalFormatting sqref="T27:T45">
    <cfRule type="expression" dxfId="604" priority="554" stopIfTrue="1">
      <formula>$A27&lt;1</formula>
    </cfRule>
  </conditionalFormatting>
  <conditionalFormatting sqref="T33:T37">
    <cfRule type="expression" dxfId="603" priority="553" stopIfTrue="1">
      <formula>$A33&lt;1</formula>
    </cfRule>
  </conditionalFormatting>
  <conditionalFormatting sqref="T27:T45">
    <cfRule type="expression" dxfId="602" priority="552" stopIfTrue="1">
      <formula>$A27&lt;1</formula>
    </cfRule>
  </conditionalFormatting>
  <conditionalFormatting sqref="T33:T37">
    <cfRule type="expression" dxfId="601" priority="551" stopIfTrue="1">
      <formula>$A33&lt;1</formula>
    </cfRule>
  </conditionalFormatting>
  <conditionalFormatting sqref="T27:T45">
    <cfRule type="expression" dxfId="600" priority="550" stopIfTrue="1">
      <formula>$A27&lt;1</formula>
    </cfRule>
  </conditionalFormatting>
  <conditionalFormatting sqref="T33:T37">
    <cfRule type="expression" dxfId="599" priority="549" stopIfTrue="1">
      <formula>$A33&lt;1</formula>
    </cfRule>
  </conditionalFormatting>
  <conditionalFormatting sqref="T27:T45">
    <cfRule type="expression" dxfId="598" priority="548" stopIfTrue="1">
      <formula>$A27&lt;1</formula>
    </cfRule>
  </conditionalFormatting>
  <conditionalFormatting sqref="T33:T37">
    <cfRule type="expression" dxfId="597" priority="547" stopIfTrue="1">
      <formula>$A33&lt;1</formula>
    </cfRule>
  </conditionalFormatting>
  <conditionalFormatting sqref="T27:T45">
    <cfRule type="expression" dxfId="596" priority="546" stopIfTrue="1">
      <formula>$A27&lt;1</formula>
    </cfRule>
  </conditionalFormatting>
  <conditionalFormatting sqref="T33:T37">
    <cfRule type="expression" dxfId="595" priority="545" stopIfTrue="1">
      <formula>$A33&lt;1</formula>
    </cfRule>
  </conditionalFormatting>
  <conditionalFormatting sqref="T27:T45">
    <cfRule type="expression" dxfId="594" priority="544" stopIfTrue="1">
      <formula>$A27&lt;1</formula>
    </cfRule>
  </conditionalFormatting>
  <conditionalFormatting sqref="T33:T37">
    <cfRule type="expression" dxfId="593" priority="543" stopIfTrue="1">
      <formula>$A33&lt;1</formula>
    </cfRule>
  </conditionalFormatting>
  <conditionalFormatting sqref="T27:T45">
    <cfRule type="expression" dxfId="592" priority="542" stopIfTrue="1">
      <formula>$A27&lt;1</formula>
    </cfRule>
  </conditionalFormatting>
  <conditionalFormatting sqref="T33:T37">
    <cfRule type="expression" dxfId="591" priority="541" stopIfTrue="1">
      <formula>$A33&lt;1</formula>
    </cfRule>
  </conditionalFormatting>
  <conditionalFormatting sqref="T27:T45">
    <cfRule type="expression" dxfId="590" priority="540" stopIfTrue="1">
      <formula>$A27&lt;1</formula>
    </cfRule>
  </conditionalFormatting>
  <conditionalFormatting sqref="T33:T37">
    <cfRule type="expression" dxfId="589" priority="539" stopIfTrue="1">
      <formula>$A33&lt;1</formula>
    </cfRule>
  </conditionalFormatting>
  <conditionalFormatting sqref="T27:T45">
    <cfRule type="expression" dxfId="588" priority="538" stopIfTrue="1">
      <formula>$A27&lt;1</formula>
    </cfRule>
  </conditionalFormatting>
  <conditionalFormatting sqref="T33:T37">
    <cfRule type="expression" dxfId="587" priority="537" stopIfTrue="1">
      <formula>$A33&lt;1</formula>
    </cfRule>
  </conditionalFormatting>
  <conditionalFormatting sqref="T27:T45">
    <cfRule type="expression" dxfId="586" priority="536" stopIfTrue="1">
      <formula>$A27&lt;1</formula>
    </cfRule>
  </conditionalFormatting>
  <conditionalFormatting sqref="T33:T37">
    <cfRule type="expression" dxfId="585" priority="535" stopIfTrue="1">
      <formula>$A33&lt;1</formula>
    </cfRule>
  </conditionalFormatting>
  <conditionalFormatting sqref="T27:T45">
    <cfRule type="expression" dxfId="584" priority="534" stopIfTrue="1">
      <formula>$A27&lt;1</formula>
    </cfRule>
  </conditionalFormatting>
  <conditionalFormatting sqref="T33:T37">
    <cfRule type="expression" dxfId="583" priority="533" stopIfTrue="1">
      <formula>$A33&lt;1</formula>
    </cfRule>
  </conditionalFormatting>
  <conditionalFormatting sqref="T27:T45">
    <cfRule type="expression" dxfId="582" priority="532" stopIfTrue="1">
      <formula>$A27&lt;1</formula>
    </cfRule>
  </conditionalFormatting>
  <conditionalFormatting sqref="T33:T37">
    <cfRule type="expression" dxfId="581" priority="531" stopIfTrue="1">
      <formula>$A33&lt;1</formula>
    </cfRule>
  </conditionalFormatting>
  <conditionalFormatting sqref="T27:T45">
    <cfRule type="expression" dxfId="580" priority="530" stopIfTrue="1">
      <formula>$A27&lt;1</formula>
    </cfRule>
  </conditionalFormatting>
  <conditionalFormatting sqref="T33:T37">
    <cfRule type="expression" dxfId="579" priority="529" stopIfTrue="1">
      <formula>$A33&lt;1</formula>
    </cfRule>
  </conditionalFormatting>
  <conditionalFormatting sqref="T27:T45">
    <cfRule type="expression" dxfId="578" priority="528" stopIfTrue="1">
      <formula>$A27&lt;1</formula>
    </cfRule>
  </conditionalFormatting>
  <conditionalFormatting sqref="T33:T37">
    <cfRule type="expression" dxfId="577" priority="527" stopIfTrue="1">
      <formula>$A33&lt;1</formula>
    </cfRule>
  </conditionalFormatting>
  <conditionalFormatting sqref="T27:T45">
    <cfRule type="expression" dxfId="576" priority="526" stopIfTrue="1">
      <formula>$A27&lt;1</formula>
    </cfRule>
  </conditionalFormatting>
  <conditionalFormatting sqref="T33:T37">
    <cfRule type="expression" dxfId="575" priority="525" stopIfTrue="1">
      <formula>$A33&lt;1</formula>
    </cfRule>
  </conditionalFormatting>
  <conditionalFormatting sqref="T27:T45">
    <cfRule type="expression" dxfId="574" priority="524" stopIfTrue="1">
      <formula>$A27&lt;1</formula>
    </cfRule>
  </conditionalFormatting>
  <conditionalFormatting sqref="T33:T37">
    <cfRule type="expression" dxfId="573" priority="523" stopIfTrue="1">
      <formula>$A33&lt;1</formula>
    </cfRule>
  </conditionalFormatting>
  <conditionalFormatting sqref="T27:T45">
    <cfRule type="expression" dxfId="572" priority="522" stopIfTrue="1">
      <formula>$A27&lt;1</formula>
    </cfRule>
  </conditionalFormatting>
  <conditionalFormatting sqref="T33:T37">
    <cfRule type="expression" dxfId="571" priority="521" stopIfTrue="1">
      <formula>$A33&lt;1</formula>
    </cfRule>
  </conditionalFormatting>
  <conditionalFormatting sqref="T27:T45">
    <cfRule type="expression" dxfId="570" priority="520" stopIfTrue="1">
      <formula>$A27&lt;1</formula>
    </cfRule>
  </conditionalFormatting>
  <conditionalFormatting sqref="T33:T37">
    <cfRule type="expression" dxfId="569" priority="519" stopIfTrue="1">
      <formula>$A33&lt;1</formula>
    </cfRule>
  </conditionalFormatting>
  <conditionalFormatting sqref="T27:T45">
    <cfRule type="expression" dxfId="568" priority="518" stopIfTrue="1">
      <formula>$A27&lt;1</formula>
    </cfRule>
  </conditionalFormatting>
  <conditionalFormatting sqref="T33:T37">
    <cfRule type="expression" dxfId="567" priority="517" stopIfTrue="1">
      <formula>$A33&lt;1</formula>
    </cfRule>
  </conditionalFormatting>
  <conditionalFormatting sqref="T27:T45">
    <cfRule type="expression" dxfId="566" priority="516" stopIfTrue="1">
      <formula>$A27&lt;1</formula>
    </cfRule>
  </conditionalFormatting>
  <conditionalFormatting sqref="T33:T37">
    <cfRule type="expression" dxfId="565" priority="515" stopIfTrue="1">
      <formula>$A33&lt;1</formula>
    </cfRule>
  </conditionalFormatting>
  <conditionalFormatting sqref="T27:T45">
    <cfRule type="expression" dxfId="564" priority="514" stopIfTrue="1">
      <formula>$A27&lt;1</formula>
    </cfRule>
  </conditionalFormatting>
  <conditionalFormatting sqref="T33:T37">
    <cfRule type="expression" dxfId="563" priority="513" stopIfTrue="1">
      <formula>$A33&lt;1</formula>
    </cfRule>
  </conditionalFormatting>
  <conditionalFormatting sqref="T27:T45">
    <cfRule type="expression" dxfId="562" priority="512" stopIfTrue="1">
      <formula>$A27&lt;1</formula>
    </cfRule>
  </conditionalFormatting>
  <conditionalFormatting sqref="T33:T37">
    <cfRule type="expression" dxfId="561" priority="511" stopIfTrue="1">
      <formula>$A33&lt;1</formula>
    </cfRule>
  </conditionalFormatting>
  <conditionalFormatting sqref="T27:T45">
    <cfRule type="expression" dxfId="560" priority="510" stopIfTrue="1">
      <formula>$A27&lt;1</formula>
    </cfRule>
  </conditionalFormatting>
  <conditionalFormatting sqref="T33:T37">
    <cfRule type="expression" dxfId="559" priority="509" stopIfTrue="1">
      <formula>$A33&lt;1</formula>
    </cfRule>
  </conditionalFormatting>
  <conditionalFormatting sqref="T27:T45">
    <cfRule type="expression" dxfId="558" priority="508" stopIfTrue="1">
      <formula>$A27&lt;1</formula>
    </cfRule>
  </conditionalFormatting>
  <conditionalFormatting sqref="T33:T37">
    <cfRule type="expression" dxfId="557" priority="507" stopIfTrue="1">
      <formula>$A33&lt;1</formula>
    </cfRule>
  </conditionalFormatting>
  <conditionalFormatting sqref="T27:T45">
    <cfRule type="expression" dxfId="556" priority="506" stopIfTrue="1">
      <formula>$A27&lt;1</formula>
    </cfRule>
  </conditionalFormatting>
  <conditionalFormatting sqref="T33:T37">
    <cfRule type="expression" dxfId="555" priority="505" stopIfTrue="1">
      <formula>$A33&lt;1</formula>
    </cfRule>
  </conditionalFormatting>
  <conditionalFormatting sqref="T27:T45">
    <cfRule type="expression" dxfId="554" priority="504" stopIfTrue="1">
      <formula>$A27&lt;1</formula>
    </cfRule>
  </conditionalFormatting>
  <conditionalFormatting sqref="T33:T37">
    <cfRule type="expression" dxfId="553" priority="503" stopIfTrue="1">
      <formula>$A33&lt;1</formula>
    </cfRule>
  </conditionalFormatting>
  <conditionalFormatting sqref="T27:T45">
    <cfRule type="expression" dxfId="552" priority="502" stopIfTrue="1">
      <formula>$A27&lt;1</formula>
    </cfRule>
  </conditionalFormatting>
  <conditionalFormatting sqref="T33:T37">
    <cfRule type="expression" dxfId="551" priority="501" stopIfTrue="1">
      <formula>$A33&lt;1</formula>
    </cfRule>
  </conditionalFormatting>
  <conditionalFormatting sqref="T27:T45">
    <cfRule type="expression" dxfId="550" priority="500" stopIfTrue="1">
      <formula>$A27&lt;1</formula>
    </cfRule>
  </conditionalFormatting>
  <conditionalFormatting sqref="T33:T37">
    <cfRule type="expression" dxfId="549" priority="499" stopIfTrue="1">
      <formula>$A33&lt;1</formula>
    </cfRule>
  </conditionalFormatting>
  <conditionalFormatting sqref="T27:T45">
    <cfRule type="expression" dxfId="548" priority="498" stopIfTrue="1">
      <formula>$A27&lt;1</formula>
    </cfRule>
  </conditionalFormatting>
  <conditionalFormatting sqref="T33:T37">
    <cfRule type="expression" dxfId="547" priority="497" stopIfTrue="1">
      <formula>$A33&lt;1</formula>
    </cfRule>
  </conditionalFormatting>
  <conditionalFormatting sqref="T27:T45">
    <cfRule type="expression" dxfId="546" priority="496" stopIfTrue="1">
      <formula>$A27&lt;1</formula>
    </cfRule>
  </conditionalFormatting>
  <conditionalFormatting sqref="T33:T37">
    <cfRule type="expression" dxfId="545" priority="495" stopIfTrue="1">
      <formula>$A33&lt;1</formula>
    </cfRule>
  </conditionalFormatting>
  <conditionalFormatting sqref="T27:T45">
    <cfRule type="expression" dxfId="544" priority="494" stopIfTrue="1">
      <formula>$A27&lt;1</formula>
    </cfRule>
  </conditionalFormatting>
  <conditionalFormatting sqref="T33:T37">
    <cfRule type="expression" dxfId="543" priority="493" stopIfTrue="1">
      <formula>$A33&lt;1</formula>
    </cfRule>
  </conditionalFormatting>
  <conditionalFormatting sqref="T27:T45">
    <cfRule type="expression" dxfId="542" priority="492" stopIfTrue="1">
      <formula>$A27&lt;1</formula>
    </cfRule>
  </conditionalFormatting>
  <conditionalFormatting sqref="T33:T37">
    <cfRule type="expression" dxfId="541" priority="491" stopIfTrue="1">
      <formula>$A33&lt;1</formula>
    </cfRule>
  </conditionalFormatting>
  <conditionalFormatting sqref="T27:T45">
    <cfRule type="expression" dxfId="540" priority="490" stopIfTrue="1">
      <formula>$A27&lt;1</formula>
    </cfRule>
  </conditionalFormatting>
  <conditionalFormatting sqref="T33:T37">
    <cfRule type="expression" dxfId="539" priority="489" stopIfTrue="1">
      <formula>$A33&lt;1</formula>
    </cfRule>
  </conditionalFormatting>
  <conditionalFormatting sqref="T27:T45">
    <cfRule type="expression" dxfId="538" priority="488" stopIfTrue="1">
      <formula>$A27&lt;1</formula>
    </cfRule>
  </conditionalFormatting>
  <conditionalFormatting sqref="T33:T37">
    <cfRule type="expression" dxfId="537" priority="487" stopIfTrue="1">
      <formula>$A33&lt;1</formula>
    </cfRule>
  </conditionalFormatting>
  <conditionalFormatting sqref="T27:T45">
    <cfRule type="expression" dxfId="536" priority="486" stopIfTrue="1">
      <formula>$A27&lt;1</formula>
    </cfRule>
  </conditionalFormatting>
  <conditionalFormatting sqref="T33:T37">
    <cfRule type="expression" dxfId="535" priority="485" stopIfTrue="1">
      <formula>$A33&lt;1</formula>
    </cfRule>
  </conditionalFormatting>
  <conditionalFormatting sqref="T27:T45">
    <cfRule type="expression" dxfId="534" priority="484" stopIfTrue="1">
      <formula>$A27&lt;1</formula>
    </cfRule>
  </conditionalFormatting>
  <conditionalFormatting sqref="T33:T37">
    <cfRule type="expression" dxfId="533" priority="483" stopIfTrue="1">
      <formula>$A33&lt;1</formula>
    </cfRule>
  </conditionalFormatting>
  <conditionalFormatting sqref="T27:T45">
    <cfRule type="expression" dxfId="532" priority="482" stopIfTrue="1">
      <formula>$A27&lt;1</formula>
    </cfRule>
  </conditionalFormatting>
  <conditionalFormatting sqref="T33:T37">
    <cfRule type="expression" dxfId="531" priority="481" stopIfTrue="1">
      <formula>$A33&lt;1</formula>
    </cfRule>
  </conditionalFormatting>
  <conditionalFormatting sqref="T27:T45">
    <cfRule type="expression" dxfId="530" priority="480" stopIfTrue="1">
      <formula>$A27&lt;1</formula>
    </cfRule>
  </conditionalFormatting>
  <conditionalFormatting sqref="T33:T37">
    <cfRule type="expression" dxfId="529" priority="479" stopIfTrue="1">
      <formula>$A33&lt;1</formula>
    </cfRule>
  </conditionalFormatting>
  <conditionalFormatting sqref="T27:T45">
    <cfRule type="expression" dxfId="528" priority="478" stopIfTrue="1">
      <formula>$A27&lt;1</formula>
    </cfRule>
  </conditionalFormatting>
  <conditionalFormatting sqref="T33:T37">
    <cfRule type="expression" dxfId="527" priority="477" stopIfTrue="1">
      <formula>$A33&lt;1</formula>
    </cfRule>
  </conditionalFormatting>
  <conditionalFormatting sqref="T27:T45">
    <cfRule type="expression" dxfId="526" priority="476" stopIfTrue="1">
      <formula>$A27&lt;1</formula>
    </cfRule>
  </conditionalFormatting>
  <conditionalFormatting sqref="T33:T37">
    <cfRule type="expression" dxfId="525" priority="475" stopIfTrue="1">
      <formula>$A33&lt;1</formula>
    </cfRule>
  </conditionalFormatting>
  <conditionalFormatting sqref="T27:T45">
    <cfRule type="expression" dxfId="524" priority="474" stopIfTrue="1">
      <formula>$A27&lt;1</formula>
    </cfRule>
  </conditionalFormatting>
  <conditionalFormatting sqref="T33:T37">
    <cfRule type="expression" dxfId="523" priority="473" stopIfTrue="1">
      <formula>$A33&lt;1</formula>
    </cfRule>
  </conditionalFormatting>
  <conditionalFormatting sqref="T27:T45">
    <cfRule type="expression" dxfId="522" priority="472" stopIfTrue="1">
      <formula>$A27&lt;1</formula>
    </cfRule>
  </conditionalFormatting>
  <conditionalFormatting sqref="T33:T37">
    <cfRule type="expression" dxfId="521" priority="471" stopIfTrue="1">
      <formula>$A33&lt;1</formula>
    </cfRule>
  </conditionalFormatting>
  <conditionalFormatting sqref="T27:T45">
    <cfRule type="expression" dxfId="520" priority="470" stopIfTrue="1">
      <formula>$A27&lt;1</formula>
    </cfRule>
  </conditionalFormatting>
  <conditionalFormatting sqref="T33:T37">
    <cfRule type="expression" dxfId="519" priority="469" stopIfTrue="1">
      <formula>$A33&lt;1</formula>
    </cfRule>
  </conditionalFormatting>
  <conditionalFormatting sqref="T27:T45">
    <cfRule type="expression" dxfId="518" priority="468" stopIfTrue="1">
      <formula>$A27&lt;1</formula>
    </cfRule>
  </conditionalFormatting>
  <conditionalFormatting sqref="T33:T37">
    <cfRule type="expression" dxfId="517" priority="467" stopIfTrue="1">
      <formula>$A33&lt;1</formula>
    </cfRule>
  </conditionalFormatting>
  <conditionalFormatting sqref="T27:T45">
    <cfRule type="expression" dxfId="516" priority="466" stopIfTrue="1">
      <formula>$A27&lt;1</formula>
    </cfRule>
  </conditionalFormatting>
  <conditionalFormatting sqref="T33:T37">
    <cfRule type="expression" dxfId="515" priority="465" stopIfTrue="1">
      <formula>$A33&lt;1</formula>
    </cfRule>
  </conditionalFormatting>
  <conditionalFormatting sqref="T27:T45">
    <cfRule type="expression" dxfId="514" priority="464" stopIfTrue="1">
      <formula>$A27&lt;1</formula>
    </cfRule>
  </conditionalFormatting>
  <conditionalFormatting sqref="T33:T37">
    <cfRule type="expression" dxfId="513" priority="463" stopIfTrue="1">
      <formula>$A33&lt;1</formula>
    </cfRule>
  </conditionalFormatting>
  <conditionalFormatting sqref="T27:T45">
    <cfRule type="expression" dxfId="512" priority="462" stopIfTrue="1">
      <formula>$A27&lt;1</formula>
    </cfRule>
  </conditionalFormatting>
  <conditionalFormatting sqref="T33:T37">
    <cfRule type="expression" dxfId="511" priority="461" stopIfTrue="1">
      <formula>$A33&lt;1</formula>
    </cfRule>
  </conditionalFormatting>
  <conditionalFormatting sqref="T27:T45">
    <cfRule type="expression" dxfId="510" priority="460" stopIfTrue="1">
      <formula>$A27&lt;1</formula>
    </cfRule>
  </conditionalFormatting>
  <conditionalFormatting sqref="T33:T37">
    <cfRule type="expression" dxfId="509" priority="459" stopIfTrue="1">
      <formula>$A33&lt;1</formula>
    </cfRule>
  </conditionalFormatting>
  <conditionalFormatting sqref="T27:T45">
    <cfRule type="expression" dxfId="508" priority="458" stopIfTrue="1">
      <formula>$A27&lt;1</formula>
    </cfRule>
  </conditionalFormatting>
  <conditionalFormatting sqref="T33:T37">
    <cfRule type="expression" dxfId="507" priority="457" stopIfTrue="1">
      <formula>$A33&lt;1</formula>
    </cfRule>
  </conditionalFormatting>
  <conditionalFormatting sqref="T27:T45">
    <cfRule type="expression" dxfId="506" priority="456" stopIfTrue="1">
      <formula>$A27&lt;1</formula>
    </cfRule>
  </conditionalFormatting>
  <conditionalFormatting sqref="T33:T37">
    <cfRule type="expression" dxfId="505" priority="455" stopIfTrue="1">
      <formula>$A33&lt;1</formula>
    </cfRule>
  </conditionalFormatting>
  <conditionalFormatting sqref="T27:T45">
    <cfRule type="expression" dxfId="504" priority="454" stopIfTrue="1">
      <formula>$A27&lt;1</formula>
    </cfRule>
  </conditionalFormatting>
  <conditionalFormatting sqref="T33:T37">
    <cfRule type="expression" dxfId="503" priority="453" stopIfTrue="1">
      <formula>$A33&lt;1</formula>
    </cfRule>
  </conditionalFormatting>
  <conditionalFormatting sqref="T27:T45">
    <cfRule type="expression" dxfId="502" priority="452" stopIfTrue="1">
      <formula>$A27&lt;1</formula>
    </cfRule>
  </conditionalFormatting>
  <conditionalFormatting sqref="T33:T37">
    <cfRule type="expression" dxfId="501" priority="451" stopIfTrue="1">
      <formula>$A33&lt;1</formula>
    </cfRule>
  </conditionalFormatting>
  <conditionalFormatting sqref="T27:T45">
    <cfRule type="expression" dxfId="500" priority="450" stopIfTrue="1">
      <formula>$A27&lt;1</formula>
    </cfRule>
  </conditionalFormatting>
  <conditionalFormatting sqref="T33:T37">
    <cfRule type="expression" dxfId="499" priority="449" stopIfTrue="1">
      <formula>$A33&lt;1</formula>
    </cfRule>
  </conditionalFormatting>
  <conditionalFormatting sqref="T27:T45">
    <cfRule type="expression" dxfId="498" priority="448" stopIfTrue="1">
      <formula>$A27&lt;1</formula>
    </cfRule>
  </conditionalFormatting>
  <conditionalFormatting sqref="T33:T37">
    <cfRule type="expression" dxfId="497" priority="447" stopIfTrue="1">
      <formula>$A33&lt;1</formula>
    </cfRule>
  </conditionalFormatting>
  <conditionalFormatting sqref="T27:T45">
    <cfRule type="expression" dxfId="496" priority="446" stopIfTrue="1">
      <formula>$A27&lt;1</formula>
    </cfRule>
  </conditionalFormatting>
  <conditionalFormatting sqref="T33:T37">
    <cfRule type="expression" dxfId="495" priority="445" stopIfTrue="1">
      <formula>$A33&lt;1</formula>
    </cfRule>
  </conditionalFormatting>
  <conditionalFormatting sqref="T27:T45">
    <cfRule type="expression" dxfId="494" priority="444" stopIfTrue="1">
      <formula>$A27&lt;1</formula>
    </cfRule>
  </conditionalFormatting>
  <conditionalFormatting sqref="T33:T37">
    <cfRule type="expression" dxfId="493" priority="443" stopIfTrue="1">
      <formula>$A33&lt;1</formula>
    </cfRule>
  </conditionalFormatting>
  <conditionalFormatting sqref="T27:T45">
    <cfRule type="expression" dxfId="492" priority="442" stopIfTrue="1">
      <formula>$A27&lt;1</formula>
    </cfRule>
  </conditionalFormatting>
  <conditionalFormatting sqref="T33:T37">
    <cfRule type="expression" dxfId="491" priority="441" stopIfTrue="1">
      <formula>$A33&lt;1</formula>
    </cfRule>
  </conditionalFormatting>
  <conditionalFormatting sqref="T27:T45">
    <cfRule type="expression" dxfId="490" priority="440" stopIfTrue="1">
      <formula>$A27&lt;1</formula>
    </cfRule>
  </conditionalFormatting>
  <conditionalFormatting sqref="T33:T37">
    <cfRule type="expression" dxfId="489" priority="439" stopIfTrue="1">
      <formula>$A33&lt;1</formula>
    </cfRule>
  </conditionalFormatting>
  <conditionalFormatting sqref="T27:T45">
    <cfRule type="expression" dxfId="488" priority="438" stopIfTrue="1">
      <formula>$A27&lt;1</formula>
    </cfRule>
  </conditionalFormatting>
  <conditionalFormatting sqref="T33:T37">
    <cfRule type="expression" dxfId="487" priority="437" stopIfTrue="1">
      <formula>$A33&lt;1</formula>
    </cfRule>
  </conditionalFormatting>
  <conditionalFormatting sqref="T27:T45">
    <cfRule type="expression" dxfId="486" priority="436" stopIfTrue="1">
      <formula>$A27&lt;1</formula>
    </cfRule>
  </conditionalFormatting>
  <conditionalFormatting sqref="T33:T37">
    <cfRule type="expression" dxfId="485" priority="435" stopIfTrue="1">
      <formula>$A33&lt;1</formula>
    </cfRule>
  </conditionalFormatting>
  <conditionalFormatting sqref="T27:T45">
    <cfRule type="expression" dxfId="484" priority="434" stopIfTrue="1">
      <formula>$A27&lt;1</formula>
    </cfRule>
  </conditionalFormatting>
  <conditionalFormatting sqref="T33:T37">
    <cfRule type="expression" dxfId="483" priority="433" stopIfTrue="1">
      <formula>$A33&lt;1</formula>
    </cfRule>
  </conditionalFormatting>
  <conditionalFormatting sqref="T27:T45">
    <cfRule type="expression" dxfId="482" priority="432" stopIfTrue="1">
      <formula>$A27&lt;1</formula>
    </cfRule>
  </conditionalFormatting>
  <conditionalFormatting sqref="T33:T37">
    <cfRule type="expression" dxfId="481" priority="431" stopIfTrue="1">
      <formula>$A33&lt;1</formula>
    </cfRule>
  </conditionalFormatting>
  <conditionalFormatting sqref="T27:T45">
    <cfRule type="expression" dxfId="480" priority="430" stopIfTrue="1">
      <formula>$A27&lt;1</formula>
    </cfRule>
  </conditionalFormatting>
  <conditionalFormatting sqref="T33:T37">
    <cfRule type="expression" dxfId="479" priority="429" stopIfTrue="1">
      <formula>$A33&lt;1</formula>
    </cfRule>
  </conditionalFormatting>
  <conditionalFormatting sqref="T27:T45">
    <cfRule type="expression" dxfId="478" priority="428" stopIfTrue="1">
      <formula>$A27&lt;1</formula>
    </cfRule>
  </conditionalFormatting>
  <conditionalFormatting sqref="T33:T37">
    <cfRule type="expression" dxfId="477" priority="427" stopIfTrue="1">
      <formula>$A33&lt;1</formula>
    </cfRule>
  </conditionalFormatting>
  <conditionalFormatting sqref="T27:T45">
    <cfRule type="expression" dxfId="476" priority="426" stopIfTrue="1">
      <formula>$A27&lt;1</formula>
    </cfRule>
  </conditionalFormatting>
  <conditionalFormatting sqref="T33:T37">
    <cfRule type="expression" dxfId="475" priority="425" stopIfTrue="1">
      <formula>$A33&lt;1</formula>
    </cfRule>
  </conditionalFormatting>
  <conditionalFormatting sqref="T27:T45">
    <cfRule type="expression" dxfId="474" priority="424" stopIfTrue="1">
      <formula>$A27&lt;1</formula>
    </cfRule>
  </conditionalFormatting>
  <conditionalFormatting sqref="T33:T37">
    <cfRule type="expression" dxfId="473" priority="423" stopIfTrue="1">
      <formula>$A33&lt;1</formula>
    </cfRule>
  </conditionalFormatting>
  <conditionalFormatting sqref="T27:T45">
    <cfRule type="expression" dxfId="472" priority="422" stopIfTrue="1">
      <formula>$A27&lt;1</formula>
    </cfRule>
  </conditionalFormatting>
  <conditionalFormatting sqref="T33:T37">
    <cfRule type="expression" dxfId="471" priority="421" stopIfTrue="1">
      <formula>$A33&lt;1</formula>
    </cfRule>
  </conditionalFormatting>
  <conditionalFormatting sqref="T27:T45">
    <cfRule type="expression" dxfId="470" priority="420" stopIfTrue="1">
      <formula>$A27&lt;1</formula>
    </cfRule>
  </conditionalFormatting>
  <conditionalFormatting sqref="T33:T37">
    <cfRule type="expression" dxfId="469" priority="419" stopIfTrue="1">
      <formula>$A33&lt;1</formula>
    </cfRule>
  </conditionalFormatting>
  <conditionalFormatting sqref="T27:T45">
    <cfRule type="expression" dxfId="468" priority="418" stopIfTrue="1">
      <formula>$A27&lt;1</formula>
    </cfRule>
  </conditionalFormatting>
  <conditionalFormatting sqref="T33:T37">
    <cfRule type="expression" dxfId="467" priority="417" stopIfTrue="1">
      <formula>$A33&lt;1</formula>
    </cfRule>
  </conditionalFormatting>
  <conditionalFormatting sqref="T27:T45">
    <cfRule type="expression" dxfId="466" priority="416" stopIfTrue="1">
      <formula>$A27&lt;1</formula>
    </cfRule>
  </conditionalFormatting>
  <conditionalFormatting sqref="T33:T37">
    <cfRule type="expression" dxfId="465" priority="415" stopIfTrue="1">
      <formula>$A33&lt;1</formula>
    </cfRule>
  </conditionalFormatting>
  <conditionalFormatting sqref="T27:T45">
    <cfRule type="expression" dxfId="464" priority="414" stopIfTrue="1">
      <formula>$A27&lt;1</formula>
    </cfRule>
  </conditionalFormatting>
  <conditionalFormatting sqref="T33:T37">
    <cfRule type="expression" dxfId="463" priority="413" stopIfTrue="1">
      <formula>$A33&lt;1</formula>
    </cfRule>
  </conditionalFormatting>
  <conditionalFormatting sqref="T27:T45">
    <cfRule type="expression" dxfId="462" priority="412" stopIfTrue="1">
      <formula>$A27&lt;1</formula>
    </cfRule>
  </conditionalFormatting>
  <conditionalFormatting sqref="T33:T37">
    <cfRule type="expression" dxfId="461" priority="411" stopIfTrue="1">
      <formula>$A33&lt;1</formula>
    </cfRule>
  </conditionalFormatting>
  <conditionalFormatting sqref="T27:T45">
    <cfRule type="expression" dxfId="460" priority="410" stopIfTrue="1">
      <formula>$A27&lt;1</formula>
    </cfRule>
  </conditionalFormatting>
  <conditionalFormatting sqref="T33:T37">
    <cfRule type="expression" dxfId="459" priority="409" stopIfTrue="1">
      <formula>$A33&lt;1</formula>
    </cfRule>
  </conditionalFormatting>
  <conditionalFormatting sqref="T27:T45">
    <cfRule type="expression" dxfId="458" priority="408" stopIfTrue="1">
      <formula>$A27&lt;1</formula>
    </cfRule>
  </conditionalFormatting>
  <conditionalFormatting sqref="T33:T37">
    <cfRule type="expression" dxfId="457" priority="407" stopIfTrue="1">
      <formula>$A33&lt;1</formula>
    </cfRule>
  </conditionalFormatting>
  <conditionalFormatting sqref="T27:T45">
    <cfRule type="expression" dxfId="456" priority="406" stopIfTrue="1">
      <formula>$A27&lt;1</formula>
    </cfRule>
  </conditionalFormatting>
  <conditionalFormatting sqref="T33:T37">
    <cfRule type="expression" dxfId="455" priority="405" stopIfTrue="1">
      <formula>$A33&lt;1</formula>
    </cfRule>
  </conditionalFormatting>
  <conditionalFormatting sqref="T27:T45">
    <cfRule type="expression" dxfId="454" priority="404" stopIfTrue="1">
      <formula>$A27&lt;1</formula>
    </cfRule>
  </conditionalFormatting>
  <conditionalFormatting sqref="T33:T37">
    <cfRule type="expression" dxfId="453" priority="403" stopIfTrue="1">
      <formula>$A33&lt;1</formula>
    </cfRule>
  </conditionalFormatting>
  <conditionalFormatting sqref="T27:T45">
    <cfRule type="expression" dxfId="452" priority="402" stopIfTrue="1">
      <formula>$A27&lt;1</formula>
    </cfRule>
  </conditionalFormatting>
  <conditionalFormatting sqref="T33:T37">
    <cfRule type="expression" dxfId="451" priority="401" stopIfTrue="1">
      <formula>$A33&lt;1</formula>
    </cfRule>
  </conditionalFormatting>
  <conditionalFormatting sqref="T27:T45">
    <cfRule type="expression" dxfId="450" priority="400" stopIfTrue="1">
      <formula>$A27&lt;1</formula>
    </cfRule>
  </conditionalFormatting>
  <conditionalFormatting sqref="T33:T37">
    <cfRule type="expression" dxfId="449" priority="399" stopIfTrue="1">
      <formula>$A33&lt;1</formula>
    </cfRule>
  </conditionalFormatting>
  <conditionalFormatting sqref="T27:T45">
    <cfRule type="expression" dxfId="448" priority="398" stopIfTrue="1">
      <formula>$A27&lt;1</formula>
    </cfRule>
  </conditionalFormatting>
  <conditionalFormatting sqref="T33:T37">
    <cfRule type="expression" dxfId="447" priority="397" stopIfTrue="1">
      <formula>$A33&lt;1</formula>
    </cfRule>
  </conditionalFormatting>
  <conditionalFormatting sqref="T27:T45">
    <cfRule type="expression" dxfId="446" priority="396" stopIfTrue="1">
      <formula>$A27&lt;1</formula>
    </cfRule>
  </conditionalFormatting>
  <conditionalFormatting sqref="T33:T37">
    <cfRule type="expression" dxfId="445" priority="395" stopIfTrue="1">
      <formula>$A33&lt;1</formula>
    </cfRule>
  </conditionalFormatting>
  <conditionalFormatting sqref="T27:T45">
    <cfRule type="expression" dxfId="444" priority="394" stopIfTrue="1">
      <formula>$A27&lt;1</formula>
    </cfRule>
  </conditionalFormatting>
  <conditionalFormatting sqref="T33:T37">
    <cfRule type="expression" dxfId="443" priority="393" stopIfTrue="1">
      <formula>$A33&lt;1</formula>
    </cfRule>
  </conditionalFormatting>
  <conditionalFormatting sqref="T27:T45">
    <cfRule type="expression" dxfId="442" priority="392" stopIfTrue="1">
      <formula>$A27&lt;1</formula>
    </cfRule>
  </conditionalFormatting>
  <conditionalFormatting sqref="T33:T37">
    <cfRule type="expression" dxfId="441" priority="391" stopIfTrue="1">
      <formula>$A33&lt;1</formula>
    </cfRule>
  </conditionalFormatting>
  <conditionalFormatting sqref="T27:T45">
    <cfRule type="expression" dxfId="440" priority="390" stopIfTrue="1">
      <formula>$A27&lt;1</formula>
    </cfRule>
  </conditionalFormatting>
  <conditionalFormatting sqref="T33:T37">
    <cfRule type="expression" dxfId="439" priority="389" stopIfTrue="1">
      <formula>$A33&lt;1</formula>
    </cfRule>
  </conditionalFormatting>
  <conditionalFormatting sqref="T27:T45">
    <cfRule type="expression" dxfId="438" priority="388" stopIfTrue="1">
      <formula>$A27&lt;1</formula>
    </cfRule>
  </conditionalFormatting>
  <conditionalFormatting sqref="T33:T37">
    <cfRule type="expression" dxfId="437" priority="387" stopIfTrue="1">
      <formula>$A33&lt;1</formula>
    </cfRule>
  </conditionalFormatting>
  <conditionalFormatting sqref="T27:T45">
    <cfRule type="expression" dxfId="436" priority="386" stopIfTrue="1">
      <formula>$A27&lt;1</formula>
    </cfRule>
  </conditionalFormatting>
  <conditionalFormatting sqref="T33:T37">
    <cfRule type="expression" dxfId="435" priority="385" stopIfTrue="1">
      <formula>$A33&lt;1</formula>
    </cfRule>
  </conditionalFormatting>
  <conditionalFormatting sqref="T27:T45">
    <cfRule type="expression" dxfId="434" priority="384" stopIfTrue="1">
      <formula>$A27&lt;1</formula>
    </cfRule>
  </conditionalFormatting>
  <conditionalFormatting sqref="T33:T37">
    <cfRule type="expression" dxfId="433" priority="383" stopIfTrue="1">
      <formula>$A33&lt;1</formula>
    </cfRule>
  </conditionalFormatting>
  <conditionalFormatting sqref="T27:T45">
    <cfRule type="expression" dxfId="432" priority="382" stopIfTrue="1">
      <formula>$A27&lt;1</formula>
    </cfRule>
  </conditionalFormatting>
  <conditionalFormatting sqref="T33:T37">
    <cfRule type="expression" dxfId="431" priority="381" stopIfTrue="1">
      <formula>$A33&lt;1</formula>
    </cfRule>
  </conditionalFormatting>
  <conditionalFormatting sqref="T27:T45">
    <cfRule type="expression" dxfId="430" priority="380" stopIfTrue="1">
      <formula>$A27&lt;1</formula>
    </cfRule>
  </conditionalFormatting>
  <conditionalFormatting sqref="T33:T37">
    <cfRule type="expression" dxfId="429" priority="379" stopIfTrue="1">
      <formula>$A33&lt;1</formula>
    </cfRule>
  </conditionalFormatting>
  <conditionalFormatting sqref="T27:T45">
    <cfRule type="expression" dxfId="428" priority="378" stopIfTrue="1">
      <formula>$A27&lt;1</formula>
    </cfRule>
  </conditionalFormatting>
  <conditionalFormatting sqref="T33:T37">
    <cfRule type="expression" dxfId="427" priority="377" stopIfTrue="1">
      <formula>$A33&lt;1</formula>
    </cfRule>
  </conditionalFormatting>
  <conditionalFormatting sqref="T27:T45">
    <cfRule type="expression" dxfId="426" priority="376" stopIfTrue="1">
      <formula>$A27&lt;1</formula>
    </cfRule>
  </conditionalFormatting>
  <conditionalFormatting sqref="T33:T37">
    <cfRule type="expression" dxfId="425" priority="375" stopIfTrue="1">
      <formula>$A33&lt;1</formula>
    </cfRule>
  </conditionalFormatting>
  <conditionalFormatting sqref="T27:T45">
    <cfRule type="expression" dxfId="424" priority="374" stopIfTrue="1">
      <formula>$A27&lt;1</formula>
    </cfRule>
  </conditionalFormatting>
  <conditionalFormatting sqref="T33:T37">
    <cfRule type="expression" dxfId="423" priority="373" stopIfTrue="1">
      <formula>$A33&lt;1</formula>
    </cfRule>
  </conditionalFormatting>
  <conditionalFormatting sqref="T27:T45">
    <cfRule type="expression" dxfId="422" priority="372" stopIfTrue="1">
      <formula>$A27&lt;1</formula>
    </cfRule>
  </conditionalFormatting>
  <conditionalFormatting sqref="T33:T37">
    <cfRule type="expression" dxfId="421" priority="371" stopIfTrue="1">
      <formula>$A33&lt;1</formula>
    </cfRule>
  </conditionalFormatting>
  <conditionalFormatting sqref="T27:T45">
    <cfRule type="expression" dxfId="420" priority="370" stopIfTrue="1">
      <formula>$A27&lt;1</formula>
    </cfRule>
  </conditionalFormatting>
  <conditionalFormatting sqref="T33:T37">
    <cfRule type="expression" dxfId="419" priority="369" stopIfTrue="1">
      <formula>$A33&lt;1</formula>
    </cfRule>
  </conditionalFormatting>
  <conditionalFormatting sqref="T27:T45">
    <cfRule type="expression" dxfId="418" priority="368" stopIfTrue="1">
      <formula>$A27&lt;1</formula>
    </cfRule>
  </conditionalFormatting>
  <conditionalFormatting sqref="T33:T37">
    <cfRule type="expression" dxfId="417" priority="367" stopIfTrue="1">
      <formula>$A33&lt;1</formula>
    </cfRule>
  </conditionalFormatting>
  <conditionalFormatting sqref="T27:T45">
    <cfRule type="expression" dxfId="416" priority="366" stopIfTrue="1">
      <formula>$A27&lt;1</formula>
    </cfRule>
  </conditionalFormatting>
  <conditionalFormatting sqref="T33:T37">
    <cfRule type="expression" dxfId="415" priority="365" stopIfTrue="1">
      <formula>$A33&lt;1</formula>
    </cfRule>
  </conditionalFormatting>
  <conditionalFormatting sqref="T27:T45">
    <cfRule type="expression" dxfId="414" priority="364" stopIfTrue="1">
      <formula>$A27&lt;1</formula>
    </cfRule>
  </conditionalFormatting>
  <conditionalFormatting sqref="T33:T37">
    <cfRule type="expression" dxfId="413" priority="363" stopIfTrue="1">
      <formula>$A33&lt;1</formula>
    </cfRule>
  </conditionalFormatting>
  <conditionalFormatting sqref="T27:T45">
    <cfRule type="expression" dxfId="412" priority="362" stopIfTrue="1">
      <formula>$A27&lt;1</formula>
    </cfRule>
  </conditionalFormatting>
  <conditionalFormatting sqref="T33:T37">
    <cfRule type="expression" dxfId="411" priority="361" stopIfTrue="1">
      <formula>$A33&lt;1</formula>
    </cfRule>
  </conditionalFormatting>
  <conditionalFormatting sqref="T27:T45">
    <cfRule type="expression" dxfId="410" priority="360" stopIfTrue="1">
      <formula>$A27&lt;1</formula>
    </cfRule>
  </conditionalFormatting>
  <conditionalFormatting sqref="T33:T37">
    <cfRule type="expression" dxfId="409" priority="359" stopIfTrue="1">
      <formula>$A33&lt;1</formula>
    </cfRule>
  </conditionalFormatting>
  <conditionalFormatting sqref="T27:T45">
    <cfRule type="expression" dxfId="408" priority="358" stopIfTrue="1">
      <formula>$A27&lt;1</formula>
    </cfRule>
  </conditionalFormatting>
  <conditionalFormatting sqref="T33:T37">
    <cfRule type="expression" dxfId="407" priority="357" stopIfTrue="1">
      <formula>$A33&lt;1</formula>
    </cfRule>
  </conditionalFormatting>
  <conditionalFormatting sqref="T27:T45">
    <cfRule type="expression" dxfId="406" priority="356" stopIfTrue="1">
      <formula>$A27&lt;1</formula>
    </cfRule>
  </conditionalFormatting>
  <conditionalFormatting sqref="T33:T37">
    <cfRule type="expression" dxfId="405" priority="355" stopIfTrue="1">
      <formula>$A33&lt;1</formula>
    </cfRule>
  </conditionalFormatting>
  <conditionalFormatting sqref="T27:T45">
    <cfRule type="expression" dxfId="404" priority="354" stopIfTrue="1">
      <formula>$A27&lt;1</formula>
    </cfRule>
  </conditionalFormatting>
  <conditionalFormatting sqref="T33:T37">
    <cfRule type="expression" dxfId="403" priority="353" stopIfTrue="1">
      <formula>$A33&lt;1</formula>
    </cfRule>
  </conditionalFormatting>
  <conditionalFormatting sqref="T27:T45">
    <cfRule type="expression" dxfId="402" priority="352" stopIfTrue="1">
      <formula>$A27&lt;1</formula>
    </cfRule>
  </conditionalFormatting>
  <conditionalFormatting sqref="T33:T37">
    <cfRule type="expression" dxfId="401" priority="351" stopIfTrue="1">
      <formula>$A33&lt;1</formula>
    </cfRule>
  </conditionalFormatting>
  <conditionalFormatting sqref="T27:T45">
    <cfRule type="expression" dxfId="400" priority="350" stopIfTrue="1">
      <formula>$A27&lt;1</formula>
    </cfRule>
  </conditionalFormatting>
  <conditionalFormatting sqref="T33:T37">
    <cfRule type="expression" dxfId="399" priority="349" stopIfTrue="1">
      <formula>$A33&lt;1</formula>
    </cfRule>
  </conditionalFormatting>
  <conditionalFormatting sqref="T27:T45">
    <cfRule type="expression" dxfId="398" priority="348" stopIfTrue="1">
      <formula>$A27&lt;1</formula>
    </cfRule>
  </conditionalFormatting>
  <conditionalFormatting sqref="T33:T37">
    <cfRule type="expression" dxfId="397" priority="347" stopIfTrue="1">
      <formula>$A33&lt;1</formula>
    </cfRule>
  </conditionalFormatting>
  <conditionalFormatting sqref="T27:T45">
    <cfRule type="expression" dxfId="396" priority="346" stopIfTrue="1">
      <formula>$A27&lt;1</formula>
    </cfRule>
  </conditionalFormatting>
  <conditionalFormatting sqref="T33:T37">
    <cfRule type="expression" dxfId="395" priority="345" stopIfTrue="1">
      <formula>$A33&lt;1</formula>
    </cfRule>
  </conditionalFormatting>
  <conditionalFormatting sqref="T27:T45">
    <cfRule type="expression" dxfId="394" priority="344" stopIfTrue="1">
      <formula>$A27&lt;1</formula>
    </cfRule>
  </conditionalFormatting>
  <conditionalFormatting sqref="T33:T37">
    <cfRule type="expression" dxfId="393" priority="343" stopIfTrue="1">
      <formula>$A33&lt;1</formula>
    </cfRule>
  </conditionalFormatting>
  <conditionalFormatting sqref="T27:T45">
    <cfRule type="expression" dxfId="392" priority="342" stopIfTrue="1">
      <formula>$A27&lt;1</formula>
    </cfRule>
  </conditionalFormatting>
  <conditionalFormatting sqref="T33:T37">
    <cfRule type="expression" dxfId="391" priority="341" stopIfTrue="1">
      <formula>$A33&lt;1</formula>
    </cfRule>
  </conditionalFormatting>
  <conditionalFormatting sqref="T27:T45">
    <cfRule type="expression" dxfId="390" priority="340" stopIfTrue="1">
      <formula>$A27&lt;1</formula>
    </cfRule>
  </conditionalFormatting>
  <conditionalFormatting sqref="T33:T37">
    <cfRule type="expression" dxfId="389" priority="339" stopIfTrue="1">
      <formula>$A33&lt;1</formula>
    </cfRule>
  </conditionalFormatting>
  <conditionalFormatting sqref="T27:T45">
    <cfRule type="expression" dxfId="388" priority="338" stopIfTrue="1">
      <formula>$A27&lt;1</formula>
    </cfRule>
  </conditionalFormatting>
  <conditionalFormatting sqref="T33:T37">
    <cfRule type="expression" dxfId="387" priority="337" stopIfTrue="1">
      <formula>$A33&lt;1</formula>
    </cfRule>
  </conditionalFormatting>
  <conditionalFormatting sqref="T27:T45">
    <cfRule type="expression" dxfId="386" priority="336" stopIfTrue="1">
      <formula>$A27&lt;1</formula>
    </cfRule>
  </conditionalFormatting>
  <conditionalFormatting sqref="T33:T37">
    <cfRule type="expression" dxfId="385" priority="335" stopIfTrue="1">
      <formula>$A33&lt;1</formula>
    </cfRule>
  </conditionalFormatting>
  <conditionalFormatting sqref="T27:T45">
    <cfRule type="expression" dxfId="384" priority="334" stopIfTrue="1">
      <formula>$A27&lt;1</formula>
    </cfRule>
  </conditionalFormatting>
  <conditionalFormatting sqref="T33:T37">
    <cfRule type="expression" dxfId="383" priority="333" stopIfTrue="1">
      <formula>$A33&lt;1</formula>
    </cfRule>
  </conditionalFormatting>
  <conditionalFormatting sqref="T27:T45">
    <cfRule type="expression" dxfId="382" priority="332" stopIfTrue="1">
      <formula>$A27&lt;1</formula>
    </cfRule>
  </conditionalFormatting>
  <conditionalFormatting sqref="T33:T37">
    <cfRule type="expression" dxfId="381" priority="331" stopIfTrue="1">
      <formula>$A33&lt;1</formula>
    </cfRule>
  </conditionalFormatting>
  <conditionalFormatting sqref="T27:T45">
    <cfRule type="expression" dxfId="380" priority="330" stopIfTrue="1">
      <formula>$A27&lt;1</formula>
    </cfRule>
  </conditionalFormatting>
  <conditionalFormatting sqref="T33:T37">
    <cfRule type="expression" dxfId="379" priority="329" stopIfTrue="1">
      <formula>$A33&lt;1</formula>
    </cfRule>
  </conditionalFormatting>
  <conditionalFormatting sqref="T27:T45">
    <cfRule type="expression" dxfId="378" priority="328" stopIfTrue="1">
      <formula>$A27&lt;1</formula>
    </cfRule>
  </conditionalFormatting>
  <conditionalFormatting sqref="T33:T37">
    <cfRule type="expression" dxfId="377" priority="327" stopIfTrue="1">
      <formula>$A33&lt;1</formula>
    </cfRule>
  </conditionalFormatting>
  <conditionalFormatting sqref="T27:T45">
    <cfRule type="expression" dxfId="376" priority="326" stopIfTrue="1">
      <formula>$A27&lt;1</formula>
    </cfRule>
  </conditionalFormatting>
  <conditionalFormatting sqref="T33:T37">
    <cfRule type="expression" dxfId="375" priority="325" stopIfTrue="1">
      <formula>$A33&lt;1</formula>
    </cfRule>
  </conditionalFormatting>
  <conditionalFormatting sqref="T27:T45">
    <cfRule type="expression" dxfId="374" priority="324" stopIfTrue="1">
      <formula>$A27&lt;1</formula>
    </cfRule>
  </conditionalFormatting>
  <conditionalFormatting sqref="T33:T37">
    <cfRule type="expression" dxfId="373" priority="323" stopIfTrue="1">
      <formula>$A33&lt;1</formula>
    </cfRule>
  </conditionalFormatting>
  <conditionalFormatting sqref="T27:T45">
    <cfRule type="expression" dxfId="372" priority="322" stopIfTrue="1">
      <formula>$A27&lt;1</formula>
    </cfRule>
  </conditionalFormatting>
  <conditionalFormatting sqref="T33:T37">
    <cfRule type="expression" dxfId="371" priority="321" stopIfTrue="1">
      <formula>$A33&lt;1</formula>
    </cfRule>
  </conditionalFormatting>
  <conditionalFormatting sqref="T27:T45">
    <cfRule type="expression" dxfId="370" priority="320" stopIfTrue="1">
      <formula>$A27&lt;1</formula>
    </cfRule>
  </conditionalFormatting>
  <conditionalFormatting sqref="T33:T37">
    <cfRule type="expression" dxfId="369" priority="319" stopIfTrue="1">
      <formula>$A33&lt;1</formula>
    </cfRule>
  </conditionalFormatting>
  <conditionalFormatting sqref="T27:T45">
    <cfRule type="expression" dxfId="368" priority="318" stopIfTrue="1">
      <formula>$A27&lt;1</formula>
    </cfRule>
  </conditionalFormatting>
  <conditionalFormatting sqref="T33:T37">
    <cfRule type="expression" dxfId="367" priority="317" stopIfTrue="1">
      <formula>$A33&lt;1</formula>
    </cfRule>
  </conditionalFormatting>
  <conditionalFormatting sqref="T27:T45">
    <cfRule type="expression" dxfId="366" priority="316" stopIfTrue="1">
      <formula>$A27&lt;1</formula>
    </cfRule>
  </conditionalFormatting>
  <conditionalFormatting sqref="T33:T37">
    <cfRule type="expression" dxfId="365" priority="315" stopIfTrue="1">
      <formula>$A33&lt;1</formula>
    </cfRule>
  </conditionalFormatting>
  <conditionalFormatting sqref="T27:T45">
    <cfRule type="expression" dxfId="364" priority="314" stopIfTrue="1">
      <formula>$A27&lt;1</formula>
    </cfRule>
  </conditionalFormatting>
  <conditionalFormatting sqref="T33:T37">
    <cfRule type="expression" dxfId="363" priority="313" stopIfTrue="1">
      <formula>$A33&lt;1</formula>
    </cfRule>
  </conditionalFormatting>
  <conditionalFormatting sqref="T27:T45">
    <cfRule type="expression" dxfId="362" priority="312" stopIfTrue="1">
      <formula>$A27&lt;1</formula>
    </cfRule>
  </conditionalFormatting>
  <conditionalFormatting sqref="T33:T37">
    <cfRule type="expression" dxfId="361" priority="311" stopIfTrue="1">
      <formula>$A33&lt;1</formula>
    </cfRule>
  </conditionalFormatting>
  <conditionalFormatting sqref="T27:T45">
    <cfRule type="expression" dxfId="360" priority="310" stopIfTrue="1">
      <formula>$A27&lt;1</formula>
    </cfRule>
  </conditionalFormatting>
  <conditionalFormatting sqref="T33:T37">
    <cfRule type="expression" dxfId="359" priority="309" stopIfTrue="1">
      <formula>$A33&lt;1</formula>
    </cfRule>
  </conditionalFormatting>
  <conditionalFormatting sqref="T27:T45">
    <cfRule type="expression" dxfId="358" priority="308" stopIfTrue="1">
      <formula>$A27&lt;1</formula>
    </cfRule>
  </conditionalFormatting>
  <conditionalFormatting sqref="T33:T37">
    <cfRule type="expression" dxfId="357" priority="307" stopIfTrue="1">
      <formula>$A33&lt;1</formula>
    </cfRule>
  </conditionalFormatting>
  <conditionalFormatting sqref="T27:T45">
    <cfRule type="expression" dxfId="356" priority="306" stopIfTrue="1">
      <formula>$A27&lt;1</formula>
    </cfRule>
  </conditionalFormatting>
  <conditionalFormatting sqref="T33:T37">
    <cfRule type="expression" dxfId="355" priority="305" stopIfTrue="1">
      <formula>$A33&lt;1</formula>
    </cfRule>
  </conditionalFormatting>
  <conditionalFormatting sqref="T27:T45">
    <cfRule type="expression" dxfId="354" priority="304" stopIfTrue="1">
      <formula>$A27&lt;1</formula>
    </cfRule>
  </conditionalFormatting>
  <conditionalFormatting sqref="T33:T37">
    <cfRule type="expression" dxfId="353" priority="303" stopIfTrue="1">
      <formula>$A33&lt;1</formula>
    </cfRule>
  </conditionalFormatting>
  <conditionalFormatting sqref="T27:T45">
    <cfRule type="expression" dxfId="352" priority="302" stopIfTrue="1">
      <formula>$A27&lt;1</formula>
    </cfRule>
  </conditionalFormatting>
  <conditionalFormatting sqref="T33:T37">
    <cfRule type="expression" dxfId="351" priority="301" stopIfTrue="1">
      <formula>$A33&lt;1</formula>
    </cfRule>
  </conditionalFormatting>
  <conditionalFormatting sqref="T27:T45">
    <cfRule type="expression" dxfId="350" priority="300" stopIfTrue="1">
      <formula>$A27&lt;1</formula>
    </cfRule>
  </conditionalFormatting>
  <conditionalFormatting sqref="T33:T37">
    <cfRule type="expression" dxfId="349" priority="299" stopIfTrue="1">
      <formula>$A33&lt;1</formula>
    </cfRule>
  </conditionalFormatting>
  <conditionalFormatting sqref="T27:T45">
    <cfRule type="expression" dxfId="348" priority="298" stopIfTrue="1">
      <formula>$A27&lt;1</formula>
    </cfRule>
  </conditionalFormatting>
  <conditionalFormatting sqref="T33:T37">
    <cfRule type="expression" dxfId="347" priority="297" stopIfTrue="1">
      <formula>$A33&lt;1</formula>
    </cfRule>
  </conditionalFormatting>
  <conditionalFormatting sqref="T27:T45">
    <cfRule type="expression" dxfId="346" priority="296" stopIfTrue="1">
      <formula>$A27&lt;1</formula>
    </cfRule>
  </conditionalFormatting>
  <conditionalFormatting sqref="T33:T37">
    <cfRule type="expression" dxfId="345" priority="295" stopIfTrue="1">
      <formula>$A33&lt;1</formula>
    </cfRule>
  </conditionalFormatting>
  <conditionalFormatting sqref="T27:T45">
    <cfRule type="expression" dxfId="344" priority="294" stopIfTrue="1">
      <formula>$A27&lt;1</formula>
    </cfRule>
  </conditionalFormatting>
  <conditionalFormatting sqref="T33:T37">
    <cfRule type="expression" dxfId="343" priority="293" stopIfTrue="1">
      <formula>$A33&lt;1</formula>
    </cfRule>
  </conditionalFormatting>
  <conditionalFormatting sqref="T27:T45">
    <cfRule type="expression" dxfId="342" priority="292" stopIfTrue="1">
      <formula>$A27&lt;1</formula>
    </cfRule>
  </conditionalFormatting>
  <conditionalFormatting sqref="T33:T37">
    <cfRule type="expression" dxfId="341" priority="291" stopIfTrue="1">
      <formula>$A33&lt;1</formula>
    </cfRule>
  </conditionalFormatting>
  <conditionalFormatting sqref="T27:T45">
    <cfRule type="expression" dxfId="340" priority="290" stopIfTrue="1">
      <formula>$A27&lt;1</formula>
    </cfRule>
  </conditionalFormatting>
  <conditionalFormatting sqref="T33:T37">
    <cfRule type="expression" dxfId="339" priority="289" stopIfTrue="1">
      <formula>$A33&lt;1</formula>
    </cfRule>
  </conditionalFormatting>
  <conditionalFormatting sqref="T27:T45">
    <cfRule type="expression" dxfId="338" priority="288" stopIfTrue="1">
      <formula>$A27&lt;1</formula>
    </cfRule>
  </conditionalFormatting>
  <conditionalFormatting sqref="T33:T37">
    <cfRule type="expression" dxfId="337" priority="287" stopIfTrue="1">
      <formula>$A33&lt;1</formula>
    </cfRule>
  </conditionalFormatting>
  <conditionalFormatting sqref="T27:T45">
    <cfRule type="expression" dxfId="336" priority="286" stopIfTrue="1">
      <formula>$A27&lt;1</formula>
    </cfRule>
  </conditionalFormatting>
  <conditionalFormatting sqref="T33:T37">
    <cfRule type="expression" dxfId="335" priority="285" stopIfTrue="1">
      <formula>$A33&lt;1</formula>
    </cfRule>
  </conditionalFormatting>
  <conditionalFormatting sqref="T27:T45">
    <cfRule type="expression" dxfId="334" priority="284" stopIfTrue="1">
      <formula>$A27&lt;1</formula>
    </cfRule>
  </conditionalFormatting>
  <conditionalFormatting sqref="T33:T37">
    <cfRule type="expression" dxfId="333" priority="283" stopIfTrue="1">
      <formula>$A33&lt;1</formula>
    </cfRule>
  </conditionalFormatting>
  <conditionalFormatting sqref="T27:T45">
    <cfRule type="expression" dxfId="332" priority="282" stopIfTrue="1">
      <formula>$A27&lt;1</formula>
    </cfRule>
  </conditionalFormatting>
  <conditionalFormatting sqref="T33:T37">
    <cfRule type="expression" dxfId="331" priority="281" stopIfTrue="1">
      <formula>$A33&lt;1</formula>
    </cfRule>
  </conditionalFormatting>
  <conditionalFormatting sqref="T27:T45">
    <cfRule type="expression" dxfId="330" priority="280" stopIfTrue="1">
      <formula>$A27&lt;1</formula>
    </cfRule>
  </conditionalFormatting>
  <conditionalFormatting sqref="T33:T37">
    <cfRule type="expression" dxfId="329" priority="279" stopIfTrue="1">
      <formula>$A33&lt;1</formula>
    </cfRule>
  </conditionalFormatting>
  <conditionalFormatting sqref="T27:T45">
    <cfRule type="expression" dxfId="328" priority="278" stopIfTrue="1">
      <formula>$A27&lt;1</formula>
    </cfRule>
  </conditionalFormatting>
  <conditionalFormatting sqref="T33:T37">
    <cfRule type="expression" dxfId="327" priority="277" stopIfTrue="1">
      <formula>$A33&lt;1</formula>
    </cfRule>
  </conditionalFormatting>
  <conditionalFormatting sqref="T27:T45">
    <cfRule type="expression" dxfId="326" priority="276" stopIfTrue="1">
      <formula>$A27&lt;1</formula>
    </cfRule>
  </conditionalFormatting>
  <conditionalFormatting sqref="T33:T37">
    <cfRule type="expression" dxfId="325" priority="275" stopIfTrue="1">
      <formula>$A33&lt;1</formula>
    </cfRule>
  </conditionalFormatting>
  <conditionalFormatting sqref="T27:T45">
    <cfRule type="expression" dxfId="324" priority="274" stopIfTrue="1">
      <formula>$A27&lt;1</formula>
    </cfRule>
  </conditionalFormatting>
  <conditionalFormatting sqref="T33:T37">
    <cfRule type="expression" dxfId="323" priority="273" stopIfTrue="1">
      <formula>$A33&lt;1</formula>
    </cfRule>
  </conditionalFormatting>
  <conditionalFormatting sqref="T27:T45">
    <cfRule type="expression" dxfId="322" priority="272" stopIfTrue="1">
      <formula>$A27&lt;1</formula>
    </cfRule>
  </conditionalFormatting>
  <conditionalFormatting sqref="T33:T37">
    <cfRule type="expression" dxfId="321" priority="271" stopIfTrue="1">
      <formula>$A33&lt;1</formula>
    </cfRule>
  </conditionalFormatting>
  <conditionalFormatting sqref="T27:T45">
    <cfRule type="expression" dxfId="320" priority="270" stopIfTrue="1">
      <formula>$A27&lt;1</formula>
    </cfRule>
  </conditionalFormatting>
  <conditionalFormatting sqref="T33:T37">
    <cfRule type="expression" dxfId="319" priority="269" stopIfTrue="1">
      <formula>$A33&lt;1</formula>
    </cfRule>
  </conditionalFormatting>
  <conditionalFormatting sqref="T27:T45">
    <cfRule type="expression" dxfId="318" priority="268" stopIfTrue="1">
      <formula>$A27&lt;1</formula>
    </cfRule>
  </conditionalFormatting>
  <conditionalFormatting sqref="T33:T37">
    <cfRule type="expression" dxfId="317" priority="267" stopIfTrue="1">
      <formula>$A33&lt;1</formula>
    </cfRule>
  </conditionalFormatting>
  <conditionalFormatting sqref="T27:T45">
    <cfRule type="expression" dxfId="316" priority="266" stopIfTrue="1">
      <formula>$A27&lt;1</formula>
    </cfRule>
  </conditionalFormatting>
  <conditionalFormatting sqref="T33:T37">
    <cfRule type="expression" dxfId="315" priority="265" stopIfTrue="1">
      <formula>$A33&lt;1</formula>
    </cfRule>
  </conditionalFormatting>
  <conditionalFormatting sqref="T27:T45">
    <cfRule type="expression" dxfId="314" priority="264" stopIfTrue="1">
      <formula>$A27&lt;1</formula>
    </cfRule>
  </conditionalFormatting>
  <conditionalFormatting sqref="T33:T37">
    <cfRule type="expression" dxfId="313" priority="263" stopIfTrue="1">
      <formula>$A33&lt;1</formula>
    </cfRule>
  </conditionalFormatting>
  <conditionalFormatting sqref="T27:T45">
    <cfRule type="expression" dxfId="312" priority="262" stopIfTrue="1">
      <formula>$A27&lt;1</formula>
    </cfRule>
  </conditionalFormatting>
  <conditionalFormatting sqref="T33:T37">
    <cfRule type="expression" dxfId="311" priority="261" stopIfTrue="1">
      <formula>$A33&lt;1</formula>
    </cfRule>
  </conditionalFormatting>
  <conditionalFormatting sqref="T27:T45">
    <cfRule type="expression" dxfId="310" priority="260" stopIfTrue="1">
      <formula>$A27&lt;1</formula>
    </cfRule>
  </conditionalFormatting>
  <conditionalFormatting sqref="T33:T37">
    <cfRule type="expression" dxfId="309" priority="259" stopIfTrue="1">
      <formula>$A33&lt;1</formula>
    </cfRule>
  </conditionalFormatting>
  <conditionalFormatting sqref="T27:T45">
    <cfRule type="expression" dxfId="308" priority="258" stopIfTrue="1">
      <formula>$A27&lt;1</formula>
    </cfRule>
  </conditionalFormatting>
  <conditionalFormatting sqref="T33:T37">
    <cfRule type="expression" dxfId="307" priority="257" stopIfTrue="1">
      <formula>$A33&lt;1</formula>
    </cfRule>
  </conditionalFormatting>
  <conditionalFormatting sqref="T27:T45">
    <cfRule type="expression" dxfId="306" priority="256" stopIfTrue="1">
      <formula>$A27&lt;1</formula>
    </cfRule>
  </conditionalFormatting>
  <conditionalFormatting sqref="T33:T37">
    <cfRule type="expression" dxfId="305" priority="255" stopIfTrue="1">
      <formula>$A33&lt;1</formula>
    </cfRule>
  </conditionalFormatting>
  <conditionalFormatting sqref="T27:T45">
    <cfRule type="expression" dxfId="304" priority="254" stopIfTrue="1">
      <formula>$A27&lt;1</formula>
    </cfRule>
  </conditionalFormatting>
  <conditionalFormatting sqref="T33:T37">
    <cfRule type="expression" dxfId="303" priority="253" stopIfTrue="1">
      <formula>$A33&lt;1</formula>
    </cfRule>
  </conditionalFormatting>
  <conditionalFormatting sqref="T27:T45">
    <cfRule type="expression" dxfId="302" priority="252" stopIfTrue="1">
      <formula>$A27&lt;1</formula>
    </cfRule>
  </conditionalFormatting>
  <conditionalFormatting sqref="T33:T37">
    <cfRule type="expression" dxfId="301" priority="251" stopIfTrue="1">
      <formula>$A33&lt;1</formula>
    </cfRule>
  </conditionalFormatting>
  <conditionalFormatting sqref="T27:T45">
    <cfRule type="expression" dxfId="300" priority="250" stopIfTrue="1">
      <formula>$A27&lt;1</formula>
    </cfRule>
  </conditionalFormatting>
  <conditionalFormatting sqref="T33:T37">
    <cfRule type="expression" dxfId="299" priority="249" stopIfTrue="1">
      <formula>$A33&lt;1</formula>
    </cfRule>
  </conditionalFormatting>
  <conditionalFormatting sqref="T27:T45">
    <cfRule type="expression" dxfId="298" priority="248" stopIfTrue="1">
      <formula>$A27&lt;1</formula>
    </cfRule>
  </conditionalFormatting>
  <conditionalFormatting sqref="T33:T37">
    <cfRule type="expression" dxfId="297" priority="247" stopIfTrue="1">
      <formula>$A33&lt;1</formula>
    </cfRule>
  </conditionalFormatting>
  <conditionalFormatting sqref="T27:T45">
    <cfRule type="expression" dxfId="296" priority="246" stopIfTrue="1">
      <formula>$A27&lt;1</formula>
    </cfRule>
  </conditionalFormatting>
  <conditionalFormatting sqref="T33:T37">
    <cfRule type="expression" dxfId="295" priority="245" stopIfTrue="1">
      <formula>$A33&lt;1</formula>
    </cfRule>
  </conditionalFormatting>
  <conditionalFormatting sqref="T27:T45">
    <cfRule type="expression" dxfId="294" priority="244" stopIfTrue="1">
      <formula>$A27&lt;1</formula>
    </cfRule>
  </conditionalFormatting>
  <conditionalFormatting sqref="T33:T37">
    <cfRule type="expression" dxfId="293" priority="243" stopIfTrue="1">
      <formula>$A33&lt;1</formula>
    </cfRule>
  </conditionalFormatting>
  <conditionalFormatting sqref="T27:T45">
    <cfRule type="expression" dxfId="292" priority="242" stopIfTrue="1">
      <formula>$A27&lt;1</formula>
    </cfRule>
  </conditionalFormatting>
  <conditionalFormatting sqref="T33:T37">
    <cfRule type="expression" dxfId="291" priority="241" stopIfTrue="1">
      <formula>$A33&lt;1</formula>
    </cfRule>
  </conditionalFormatting>
  <conditionalFormatting sqref="T27:T45">
    <cfRule type="expression" dxfId="290" priority="240" stopIfTrue="1">
      <formula>$A27&lt;1</formula>
    </cfRule>
  </conditionalFormatting>
  <conditionalFormatting sqref="T33:T37">
    <cfRule type="expression" dxfId="289" priority="239" stopIfTrue="1">
      <formula>$A33&lt;1</formula>
    </cfRule>
  </conditionalFormatting>
  <conditionalFormatting sqref="T27:T45">
    <cfRule type="expression" dxfId="288" priority="238" stopIfTrue="1">
      <formula>$A27&lt;1</formula>
    </cfRule>
  </conditionalFormatting>
  <conditionalFormatting sqref="T33:T37">
    <cfRule type="expression" dxfId="287" priority="237" stopIfTrue="1">
      <formula>$A33&lt;1</formula>
    </cfRule>
  </conditionalFormatting>
  <conditionalFormatting sqref="T27:T45">
    <cfRule type="expression" dxfId="286" priority="236" stopIfTrue="1">
      <formula>$A27&lt;1</formula>
    </cfRule>
  </conditionalFormatting>
  <conditionalFormatting sqref="T33:T37">
    <cfRule type="expression" dxfId="285" priority="235" stopIfTrue="1">
      <formula>$A33&lt;1</formula>
    </cfRule>
  </conditionalFormatting>
  <conditionalFormatting sqref="T27:T45">
    <cfRule type="expression" dxfId="284" priority="234" stopIfTrue="1">
      <formula>$A27&lt;1</formula>
    </cfRule>
  </conditionalFormatting>
  <conditionalFormatting sqref="T33:T37">
    <cfRule type="expression" dxfId="283" priority="233" stopIfTrue="1">
      <formula>$A33&lt;1</formula>
    </cfRule>
  </conditionalFormatting>
  <conditionalFormatting sqref="T27:T45">
    <cfRule type="expression" dxfId="282" priority="232" stopIfTrue="1">
      <formula>$A27&lt;1</formula>
    </cfRule>
  </conditionalFormatting>
  <conditionalFormatting sqref="T33:T37">
    <cfRule type="expression" dxfId="281" priority="231" stopIfTrue="1">
      <formula>$A33&lt;1</formula>
    </cfRule>
  </conditionalFormatting>
  <conditionalFormatting sqref="T27:T45">
    <cfRule type="expression" dxfId="280" priority="230" stopIfTrue="1">
      <formula>$A27&lt;1</formula>
    </cfRule>
  </conditionalFormatting>
  <conditionalFormatting sqref="T33:T37">
    <cfRule type="expression" dxfId="279" priority="229" stopIfTrue="1">
      <formula>$A33&lt;1</formula>
    </cfRule>
  </conditionalFormatting>
  <conditionalFormatting sqref="T27:T45">
    <cfRule type="expression" dxfId="278" priority="228" stopIfTrue="1">
      <formula>$A27&lt;1</formula>
    </cfRule>
  </conditionalFormatting>
  <conditionalFormatting sqref="T33:T37">
    <cfRule type="expression" dxfId="277" priority="227" stopIfTrue="1">
      <formula>$A33&lt;1</formula>
    </cfRule>
  </conditionalFormatting>
  <conditionalFormatting sqref="T27:T45">
    <cfRule type="expression" dxfId="276" priority="226" stopIfTrue="1">
      <formula>$A27&lt;1</formula>
    </cfRule>
  </conditionalFormatting>
  <conditionalFormatting sqref="T33:T37">
    <cfRule type="expression" dxfId="275" priority="225" stopIfTrue="1">
      <formula>$A33&lt;1</formula>
    </cfRule>
  </conditionalFormatting>
  <conditionalFormatting sqref="T27:T45">
    <cfRule type="expression" dxfId="274" priority="224" stopIfTrue="1">
      <formula>$A27&lt;1</formula>
    </cfRule>
  </conditionalFormatting>
  <conditionalFormatting sqref="T33:T37">
    <cfRule type="expression" dxfId="273" priority="223" stopIfTrue="1">
      <formula>$A33&lt;1</formula>
    </cfRule>
  </conditionalFormatting>
  <conditionalFormatting sqref="T27:T45">
    <cfRule type="expression" dxfId="272" priority="222" stopIfTrue="1">
      <formula>$A27&lt;1</formula>
    </cfRule>
  </conditionalFormatting>
  <conditionalFormatting sqref="T33:T37">
    <cfRule type="expression" dxfId="271" priority="221" stopIfTrue="1">
      <formula>$A33&lt;1</formula>
    </cfRule>
  </conditionalFormatting>
  <conditionalFormatting sqref="T27:T45">
    <cfRule type="expression" dxfId="270" priority="220" stopIfTrue="1">
      <formula>$A27&lt;1</formula>
    </cfRule>
  </conditionalFormatting>
  <conditionalFormatting sqref="T33:T37">
    <cfRule type="expression" dxfId="269" priority="219" stopIfTrue="1">
      <formula>$A33&lt;1</formula>
    </cfRule>
  </conditionalFormatting>
  <conditionalFormatting sqref="T27:T45">
    <cfRule type="expression" dxfId="268" priority="218" stopIfTrue="1">
      <formula>$A27&lt;1</formula>
    </cfRule>
  </conditionalFormatting>
  <conditionalFormatting sqref="T33:T37">
    <cfRule type="expression" dxfId="267" priority="217" stopIfTrue="1">
      <formula>$A33&lt;1</formula>
    </cfRule>
  </conditionalFormatting>
  <conditionalFormatting sqref="T27:T45">
    <cfRule type="expression" dxfId="266" priority="216" stopIfTrue="1">
      <formula>$A27&lt;1</formula>
    </cfRule>
  </conditionalFormatting>
  <conditionalFormatting sqref="T33:T37">
    <cfRule type="expression" dxfId="265" priority="215" stopIfTrue="1">
      <formula>$A33&lt;1</formula>
    </cfRule>
  </conditionalFormatting>
  <conditionalFormatting sqref="T27:T45">
    <cfRule type="expression" dxfId="264" priority="214" stopIfTrue="1">
      <formula>$A27&lt;1</formula>
    </cfRule>
  </conditionalFormatting>
  <conditionalFormatting sqref="T33:T37">
    <cfRule type="expression" dxfId="263" priority="213" stopIfTrue="1">
      <formula>$A33&lt;1</formula>
    </cfRule>
  </conditionalFormatting>
  <conditionalFormatting sqref="T27:T45">
    <cfRule type="expression" dxfId="262" priority="212" stopIfTrue="1">
      <formula>$A27&lt;1</formula>
    </cfRule>
  </conditionalFormatting>
  <conditionalFormatting sqref="T33:T37">
    <cfRule type="expression" dxfId="261" priority="211" stopIfTrue="1">
      <formula>$A33&lt;1</formula>
    </cfRule>
  </conditionalFormatting>
  <conditionalFormatting sqref="T27:T45">
    <cfRule type="expression" dxfId="260" priority="210" stopIfTrue="1">
      <formula>$A27&lt;1</formula>
    </cfRule>
  </conditionalFormatting>
  <conditionalFormatting sqref="T33:T37">
    <cfRule type="expression" dxfId="259" priority="209" stopIfTrue="1">
      <formula>$A33&lt;1</formula>
    </cfRule>
  </conditionalFormatting>
  <conditionalFormatting sqref="T27:T45">
    <cfRule type="expression" dxfId="258" priority="208" stopIfTrue="1">
      <formula>$A27&lt;1</formula>
    </cfRule>
  </conditionalFormatting>
  <conditionalFormatting sqref="T33:T37">
    <cfRule type="expression" dxfId="257" priority="207" stopIfTrue="1">
      <formula>$A33&lt;1</formula>
    </cfRule>
  </conditionalFormatting>
  <conditionalFormatting sqref="T27:T45">
    <cfRule type="expression" dxfId="256" priority="206" stopIfTrue="1">
      <formula>$A27&lt;1</formula>
    </cfRule>
  </conditionalFormatting>
  <conditionalFormatting sqref="T33:T37">
    <cfRule type="expression" dxfId="255" priority="205" stopIfTrue="1">
      <formula>$A33&lt;1</formula>
    </cfRule>
  </conditionalFormatting>
  <conditionalFormatting sqref="T27:T45">
    <cfRule type="expression" dxfId="254" priority="204" stopIfTrue="1">
      <formula>$A27&lt;1</formula>
    </cfRule>
  </conditionalFormatting>
  <conditionalFormatting sqref="T33:T37">
    <cfRule type="expression" dxfId="253" priority="203" stopIfTrue="1">
      <formula>$A33&lt;1</formula>
    </cfRule>
  </conditionalFormatting>
  <conditionalFormatting sqref="T27:T45">
    <cfRule type="expression" dxfId="252" priority="202" stopIfTrue="1">
      <formula>$A27&lt;1</formula>
    </cfRule>
  </conditionalFormatting>
  <conditionalFormatting sqref="T33:T37">
    <cfRule type="expression" dxfId="251" priority="201" stopIfTrue="1">
      <formula>$A33&lt;1</formula>
    </cfRule>
  </conditionalFormatting>
  <conditionalFormatting sqref="T27:T45">
    <cfRule type="expression" dxfId="250" priority="200" stopIfTrue="1">
      <formula>$A27&lt;1</formula>
    </cfRule>
  </conditionalFormatting>
  <conditionalFormatting sqref="T33:T37">
    <cfRule type="expression" dxfId="249" priority="199" stopIfTrue="1">
      <formula>$A33&lt;1</formula>
    </cfRule>
  </conditionalFormatting>
  <conditionalFormatting sqref="T27:T45">
    <cfRule type="expression" dxfId="248" priority="198" stopIfTrue="1">
      <formula>$A27&lt;1</formula>
    </cfRule>
  </conditionalFormatting>
  <conditionalFormatting sqref="T33:T37">
    <cfRule type="expression" dxfId="247" priority="197" stopIfTrue="1">
      <formula>$A33&lt;1</formula>
    </cfRule>
  </conditionalFormatting>
  <conditionalFormatting sqref="T27:T45">
    <cfRule type="expression" dxfId="246" priority="196" stopIfTrue="1">
      <formula>$A27&lt;1</formula>
    </cfRule>
  </conditionalFormatting>
  <conditionalFormatting sqref="T33:T37">
    <cfRule type="expression" dxfId="245" priority="195" stopIfTrue="1">
      <formula>$A33&lt;1</formula>
    </cfRule>
  </conditionalFormatting>
  <conditionalFormatting sqref="T27:T45">
    <cfRule type="expression" dxfId="244" priority="194" stopIfTrue="1">
      <formula>$A27&lt;1</formula>
    </cfRule>
  </conditionalFormatting>
  <conditionalFormatting sqref="T33:T37">
    <cfRule type="expression" dxfId="243" priority="193" stopIfTrue="1">
      <formula>$A33&lt;1</formula>
    </cfRule>
  </conditionalFormatting>
  <conditionalFormatting sqref="T27:T45">
    <cfRule type="expression" dxfId="242" priority="192" stopIfTrue="1">
      <formula>$A27&lt;1</formula>
    </cfRule>
  </conditionalFormatting>
  <conditionalFormatting sqref="T33:T37">
    <cfRule type="expression" dxfId="241" priority="191" stopIfTrue="1">
      <formula>$A33&lt;1</formula>
    </cfRule>
  </conditionalFormatting>
  <conditionalFormatting sqref="T27:T45">
    <cfRule type="expression" dxfId="240" priority="190" stopIfTrue="1">
      <formula>$A27&lt;1</formula>
    </cfRule>
  </conditionalFormatting>
  <conditionalFormatting sqref="T33:T37">
    <cfRule type="expression" dxfId="239" priority="189" stopIfTrue="1">
      <formula>$A33&lt;1</formula>
    </cfRule>
  </conditionalFormatting>
  <conditionalFormatting sqref="T27:T45">
    <cfRule type="expression" dxfId="238" priority="188" stopIfTrue="1">
      <formula>$A27&lt;1</formula>
    </cfRule>
  </conditionalFormatting>
  <conditionalFormatting sqref="T33:T37">
    <cfRule type="expression" dxfId="237" priority="187" stopIfTrue="1">
      <formula>$A33&lt;1</formula>
    </cfRule>
  </conditionalFormatting>
  <conditionalFormatting sqref="T27:T45">
    <cfRule type="expression" dxfId="236" priority="186" stopIfTrue="1">
      <formula>$A27&lt;1</formula>
    </cfRule>
  </conditionalFormatting>
  <conditionalFormatting sqref="T33:T37">
    <cfRule type="expression" dxfId="235" priority="185" stopIfTrue="1">
      <formula>$A33&lt;1</formula>
    </cfRule>
  </conditionalFormatting>
  <conditionalFormatting sqref="T27:T45">
    <cfRule type="expression" dxfId="234" priority="184" stopIfTrue="1">
      <formula>$A27&lt;1</formula>
    </cfRule>
  </conditionalFormatting>
  <conditionalFormatting sqref="T33:T37">
    <cfRule type="expression" dxfId="233" priority="183" stopIfTrue="1">
      <formula>$A33&lt;1</formula>
    </cfRule>
  </conditionalFormatting>
  <conditionalFormatting sqref="T27:T45">
    <cfRule type="expression" dxfId="232" priority="182" stopIfTrue="1">
      <formula>$A27&lt;1</formula>
    </cfRule>
  </conditionalFormatting>
  <conditionalFormatting sqref="T33:T37">
    <cfRule type="expression" dxfId="231" priority="181" stopIfTrue="1">
      <formula>$A33&lt;1</formula>
    </cfRule>
  </conditionalFormatting>
  <conditionalFormatting sqref="T27:T45">
    <cfRule type="expression" dxfId="230" priority="180" stopIfTrue="1">
      <formula>$A27&lt;1</formula>
    </cfRule>
  </conditionalFormatting>
  <conditionalFormatting sqref="T33:T37">
    <cfRule type="expression" dxfId="229" priority="179" stopIfTrue="1">
      <formula>$A33&lt;1</formula>
    </cfRule>
  </conditionalFormatting>
  <conditionalFormatting sqref="T27:T45">
    <cfRule type="expression" dxfId="228" priority="178" stopIfTrue="1">
      <formula>$A27&lt;1</formula>
    </cfRule>
  </conditionalFormatting>
  <conditionalFormatting sqref="T33:T37">
    <cfRule type="expression" dxfId="227" priority="177" stopIfTrue="1">
      <formula>$A33&lt;1</formula>
    </cfRule>
  </conditionalFormatting>
  <conditionalFormatting sqref="T27:T45">
    <cfRule type="expression" dxfId="226" priority="176" stopIfTrue="1">
      <formula>$A27&lt;1</formula>
    </cfRule>
  </conditionalFormatting>
  <conditionalFormatting sqref="T33:T37">
    <cfRule type="expression" dxfId="225" priority="175" stopIfTrue="1">
      <formula>$A33&lt;1</formula>
    </cfRule>
  </conditionalFormatting>
  <conditionalFormatting sqref="T27:T45">
    <cfRule type="expression" dxfId="224" priority="174" stopIfTrue="1">
      <formula>$A27&lt;1</formula>
    </cfRule>
  </conditionalFormatting>
  <conditionalFormatting sqref="T33:T37">
    <cfRule type="expression" dxfId="223" priority="173" stopIfTrue="1">
      <formula>$A33&lt;1</formula>
    </cfRule>
  </conditionalFormatting>
  <conditionalFormatting sqref="T27:T45">
    <cfRule type="expression" dxfId="222" priority="172" stopIfTrue="1">
      <formula>$A27&lt;1</formula>
    </cfRule>
  </conditionalFormatting>
  <conditionalFormatting sqref="T33:T37">
    <cfRule type="expression" dxfId="221" priority="171" stopIfTrue="1">
      <formula>$A33&lt;1</formula>
    </cfRule>
  </conditionalFormatting>
  <conditionalFormatting sqref="T27:T45">
    <cfRule type="expression" dxfId="220" priority="170" stopIfTrue="1">
      <formula>$A27&lt;1</formula>
    </cfRule>
  </conditionalFormatting>
  <conditionalFormatting sqref="T33:T37">
    <cfRule type="expression" dxfId="219" priority="169" stopIfTrue="1">
      <formula>$A33&lt;1</formula>
    </cfRule>
  </conditionalFormatting>
  <conditionalFormatting sqref="T27:T45">
    <cfRule type="expression" dxfId="218" priority="168" stopIfTrue="1">
      <formula>$A27&lt;1</formula>
    </cfRule>
  </conditionalFormatting>
  <conditionalFormatting sqref="T33:T37">
    <cfRule type="expression" dxfId="217" priority="167" stopIfTrue="1">
      <formula>$A33&lt;1</formula>
    </cfRule>
  </conditionalFormatting>
  <conditionalFormatting sqref="T27:T45">
    <cfRule type="expression" dxfId="216" priority="166" stopIfTrue="1">
      <formula>$A27&lt;1</formula>
    </cfRule>
  </conditionalFormatting>
  <conditionalFormatting sqref="T33:T37">
    <cfRule type="expression" dxfId="215" priority="165" stopIfTrue="1">
      <formula>$A33&lt;1</formula>
    </cfRule>
  </conditionalFormatting>
  <conditionalFormatting sqref="T27:T45">
    <cfRule type="expression" dxfId="214" priority="164" stopIfTrue="1">
      <formula>$A27&lt;1</formula>
    </cfRule>
  </conditionalFormatting>
  <conditionalFormatting sqref="T33:T37">
    <cfRule type="expression" dxfId="213" priority="163" stopIfTrue="1">
      <formula>$A33&lt;1</formula>
    </cfRule>
  </conditionalFormatting>
  <conditionalFormatting sqref="T27:T45">
    <cfRule type="expression" dxfId="212" priority="162" stopIfTrue="1">
      <formula>$A27&lt;1</formula>
    </cfRule>
  </conditionalFormatting>
  <conditionalFormatting sqref="T33:T37">
    <cfRule type="expression" dxfId="211" priority="161" stopIfTrue="1">
      <formula>$A33&lt;1</formula>
    </cfRule>
  </conditionalFormatting>
  <conditionalFormatting sqref="T27:T45">
    <cfRule type="expression" dxfId="210" priority="160" stopIfTrue="1">
      <formula>$A27&lt;1</formula>
    </cfRule>
  </conditionalFormatting>
  <conditionalFormatting sqref="T33:T37">
    <cfRule type="expression" dxfId="209" priority="159" stopIfTrue="1">
      <formula>$A33&lt;1</formula>
    </cfRule>
  </conditionalFormatting>
  <conditionalFormatting sqref="T27:T45">
    <cfRule type="expression" dxfId="208" priority="158" stopIfTrue="1">
      <formula>$A27&lt;1</formula>
    </cfRule>
  </conditionalFormatting>
  <conditionalFormatting sqref="T33:T37">
    <cfRule type="expression" dxfId="207" priority="157" stopIfTrue="1">
      <formula>$A33&lt;1</formula>
    </cfRule>
  </conditionalFormatting>
  <conditionalFormatting sqref="T27:T45">
    <cfRule type="expression" dxfId="206" priority="156" stopIfTrue="1">
      <formula>$A27&lt;1</formula>
    </cfRule>
  </conditionalFormatting>
  <conditionalFormatting sqref="T33:T37">
    <cfRule type="expression" dxfId="205" priority="155" stopIfTrue="1">
      <formula>$A33&lt;1</formula>
    </cfRule>
  </conditionalFormatting>
  <conditionalFormatting sqref="T27:T45">
    <cfRule type="expression" dxfId="204" priority="154" stopIfTrue="1">
      <formula>$A27&lt;1</formula>
    </cfRule>
  </conditionalFormatting>
  <conditionalFormatting sqref="T33:T37">
    <cfRule type="expression" dxfId="203" priority="153" stopIfTrue="1">
      <formula>$A33&lt;1</formula>
    </cfRule>
  </conditionalFormatting>
  <conditionalFormatting sqref="T27:T45">
    <cfRule type="expression" dxfId="202" priority="152" stopIfTrue="1">
      <formula>$A27&lt;1</formula>
    </cfRule>
  </conditionalFormatting>
  <conditionalFormatting sqref="T33:T37">
    <cfRule type="expression" dxfId="201" priority="151" stopIfTrue="1">
      <formula>$A33&lt;1</formula>
    </cfRule>
  </conditionalFormatting>
  <conditionalFormatting sqref="T27:T45">
    <cfRule type="expression" dxfId="200" priority="150" stopIfTrue="1">
      <formula>$A27&lt;1</formula>
    </cfRule>
  </conditionalFormatting>
  <conditionalFormatting sqref="T33:T37">
    <cfRule type="expression" dxfId="199" priority="149" stopIfTrue="1">
      <formula>$A33&lt;1</formula>
    </cfRule>
  </conditionalFormatting>
  <conditionalFormatting sqref="T27:T45">
    <cfRule type="expression" dxfId="198" priority="148" stopIfTrue="1">
      <formula>$A27&lt;1</formula>
    </cfRule>
  </conditionalFormatting>
  <conditionalFormatting sqref="T33:T37">
    <cfRule type="expression" dxfId="197" priority="147" stopIfTrue="1">
      <formula>$A33&lt;1</formula>
    </cfRule>
  </conditionalFormatting>
  <conditionalFormatting sqref="T27:T45">
    <cfRule type="expression" dxfId="196" priority="146" stopIfTrue="1">
      <formula>$A27&lt;1</formula>
    </cfRule>
  </conditionalFormatting>
  <conditionalFormatting sqref="T33:T37">
    <cfRule type="expression" dxfId="195" priority="145" stopIfTrue="1">
      <formula>$A33&lt;1</formula>
    </cfRule>
  </conditionalFormatting>
  <conditionalFormatting sqref="T27:T45">
    <cfRule type="expression" dxfId="194" priority="144" stopIfTrue="1">
      <formula>$A27&lt;1</formula>
    </cfRule>
  </conditionalFormatting>
  <conditionalFormatting sqref="T33:T37">
    <cfRule type="expression" dxfId="193" priority="143" stopIfTrue="1">
      <formula>$A33&lt;1</formula>
    </cfRule>
  </conditionalFormatting>
  <conditionalFormatting sqref="T27:T45">
    <cfRule type="expression" dxfId="192" priority="142" stopIfTrue="1">
      <formula>$A27&lt;1</formula>
    </cfRule>
  </conditionalFormatting>
  <conditionalFormatting sqref="T33:T37">
    <cfRule type="expression" dxfId="191" priority="141" stopIfTrue="1">
      <formula>$A33&lt;1</formula>
    </cfRule>
  </conditionalFormatting>
  <conditionalFormatting sqref="T27:T45">
    <cfRule type="expression" dxfId="190" priority="140" stopIfTrue="1">
      <formula>$A27&lt;1</formula>
    </cfRule>
  </conditionalFormatting>
  <conditionalFormatting sqref="T33:T37">
    <cfRule type="expression" dxfId="189" priority="139" stopIfTrue="1">
      <formula>$A33&lt;1</formula>
    </cfRule>
  </conditionalFormatting>
  <conditionalFormatting sqref="T27:T45">
    <cfRule type="expression" dxfId="188" priority="138" stopIfTrue="1">
      <formula>$A27&lt;1</formula>
    </cfRule>
  </conditionalFormatting>
  <conditionalFormatting sqref="T33:T37">
    <cfRule type="expression" dxfId="187" priority="137" stopIfTrue="1">
      <formula>$A33&lt;1</formula>
    </cfRule>
  </conditionalFormatting>
  <conditionalFormatting sqref="T27:T45">
    <cfRule type="expression" dxfId="186" priority="136" stopIfTrue="1">
      <formula>$A27&lt;1</formula>
    </cfRule>
  </conditionalFormatting>
  <conditionalFormatting sqref="T33:T37">
    <cfRule type="expression" dxfId="185" priority="135" stopIfTrue="1">
      <formula>$A33&lt;1</formula>
    </cfRule>
  </conditionalFormatting>
  <conditionalFormatting sqref="T27:T45">
    <cfRule type="expression" dxfId="184" priority="134" stopIfTrue="1">
      <formula>$A27&lt;1</formula>
    </cfRule>
  </conditionalFormatting>
  <conditionalFormatting sqref="T33:T37">
    <cfRule type="expression" dxfId="183" priority="133" stopIfTrue="1">
      <formula>$A33&lt;1</formula>
    </cfRule>
  </conditionalFormatting>
  <conditionalFormatting sqref="T27:T45">
    <cfRule type="expression" dxfId="182" priority="132" stopIfTrue="1">
      <formula>$A27&lt;1</formula>
    </cfRule>
  </conditionalFormatting>
  <conditionalFormatting sqref="T33:T37">
    <cfRule type="expression" dxfId="181" priority="131" stopIfTrue="1">
      <formula>$A33&lt;1</formula>
    </cfRule>
  </conditionalFormatting>
  <conditionalFormatting sqref="T27:T45">
    <cfRule type="expression" dxfId="180" priority="130" stopIfTrue="1">
      <formula>$A27&lt;1</formula>
    </cfRule>
  </conditionalFormatting>
  <conditionalFormatting sqref="T33:T37">
    <cfRule type="expression" dxfId="179" priority="129" stopIfTrue="1">
      <formula>$A33&lt;1</formula>
    </cfRule>
  </conditionalFormatting>
  <conditionalFormatting sqref="T27:T45">
    <cfRule type="expression" dxfId="178" priority="128" stopIfTrue="1">
      <formula>$A27&lt;1</formula>
    </cfRule>
  </conditionalFormatting>
  <conditionalFormatting sqref="T33:T37">
    <cfRule type="expression" dxfId="177" priority="127" stopIfTrue="1">
      <formula>$A33&lt;1</formula>
    </cfRule>
  </conditionalFormatting>
  <conditionalFormatting sqref="T27:T45">
    <cfRule type="expression" dxfId="176" priority="126" stopIfTrue="1">
      <formula>$A27&lt;1</formula>
    </cfRule>
  </conditionalFormatting>
  <conditionalFormatting sqref="T33:T37">
    <cfRule type="expression" dxfId="175" priority="125" stopIfTrue="1">
      <formula>$A33&lt;1</formula>
    </cfRule>
  </conditionalFormatting>
  <conditionalFormatting sqref="T27:T45">
    <cfRule type="expression" dxfId="174" priority="124" stopIfTrue="1">
      <formula>$A27&lt;1</formula>
    </cfRule>
  </conditionalFormatting>
  <conditionalFormatting sqref="T33:T37">
    <cfRule type="expression" dxfId="173" priority="123" stopIfTrue="1">
      <formula>$A33&lt;1</formula>
    </cfRule>
  </conditionalFormatting>
  <conditionalFormatting sqref="T27:T45">
    <cfRule type="expression" dxfId="172" priority="122" stopIfTrue="1">
      <formula>$A27&lt;1</formula>
    </cfRule>
  </conditionalFormatting>
  <conditionalFormatting sqref="T33:T37">
    <cfRule type="expression" dxfId="171" priority="121" stopIfTrue="1">
      <formula>$A33&lt;1</formula>
    </cfRule>
  </conditionalFormatting>
  <conditionalFormatting sqref="T27:T45">
    <cfRule type="expression" dxfId="170" priority="120" stopIfTrue="1">
      <formula>$A27&lt;1</formula>
    </cfRule>
  </conditionalFormatting>
  <conditionalFormatting sqref="T33:T37">
    <cfRule type="expression" dxfId="169" priority="119" stopIfTrue="1">
      <formula>$A33&lt;1</formula>
    </cfRule>
  </conditionalFormatting>
  <conditionalFormatting sqref="T27:T45">
    <cfRule type="expression" dxfId="168" priority="118" stopIfTrue="1">
      <formula>$A27&lt;1</formula>
    </cfRule>
  </conditionalFormatting>
  <conditionalFormatting sqref="T33:T37">
    <cfRule type="expression" dxfId="167" priority="117" stopIfTrue="1">
      <formula>$A33&lt;1</formula>
    </cfRule>
  </conditionalFormatting>
  <conditionalFormatting sqref="T27:T45">
    <cfRule type="expression" dxfId="166" priority="116" stopIfTrue="1">
      <formula>$A27&lt;1</formula>
    </cfRule>
  </conditionalFormatting>
  <conditionalFormatting sqref="T33:T37">
    <cfRule type="expression" dxfId="165" priority="115" stopIfTrue="1">
      <formula>$A33&lt;1</formula>
    </cfRule>
  </conditionalFormatting>
  <conditionalFormatting sqref="T27:T45">
    <cfRule type="expression" dxfId="164" priority="114" stopIfTrue="1">
      <formula>$A27&lt;1</formula>
    </cfRule>
  </conditionalFormatting>
  <conditionalFormatting sqref="T33:T37">
    <cfRule type="expression" dxfId="163" priority="113" stopIfTrue="1">
      <formula>$A33&lt;1</formula>
    </cfRule>
  </conditionalFormatting>
  <conditionalFormatting sqref="T27:T45">
    <cfRule type="expression" dxfId="162" priority="112" stopIfTrue="1">
      <formula>$A27&lt;1</formula>
    </cfRule>
  </conditionalFormatting>
  <conditionalFormatting sqref="T33:T37">
    <cfRule type="expression" dxfId="161" priority="111" stopIfTrue="1">
      <formula>$A33&lt;1</formula>
    </cfRule>
  </conditionalFormatting>
  <conditionalFormatting sqref="T27:T45">
    <cfRule type="expression" dxfId="160" priority="110" stopIfTrue="1">
      <formula>$A27&lt;1</formula>
    </cfRule>
  </conditionalFormatting>
  <conditionalFormatting sqref="T33:T37">
    <cfRule type="expression" dxfId="159" priority="109" stopIfTrue="1">
      <formula>$A33&lt;1</formula>
    </cfRule>
  </conditionalFormatting>
  <conditionalFormatting sqref="T27:T45">
    <cfRule type="expression" dxfId="158" priority="108" stopIfTrue="1">
      <formula>$A27&lt;1</formula>
    </cfRule>
  </conditionalFormatting>
  <conditionalFormatting sqref="T33:T37">
    <cfRule type="expression" dxfId="157" priority="107" stopIfTrue="1">
      <formula>$A33&lt;1</formula>
    </cfRule>
  </conditionalFormatting>
  <conditionalFormatting sqref="T27:T45">
    <cfRule type="expression" dxfId="156" priority="106" stopIfTrue="1">
      <formula>$A27&lt;1</formula>
    </cfRule>
  </conditionalFormatting>
  <conditionalFormatting sqref="T33:T37">
    <cfRule type="expression" dxfId="155" priority="105" stopIfTrue="1">
      <formula>$A33&lt;1</formula>
    </cfRule>
  </conditionalFormatting>
  <conditionalFormatting sqref="T27:T45">
    <cfRule type="expression" dxfId="154" priority="104" stopIfTrue="1">
      <formula>$A27&lt;1</formula>
    </cfRule>
  </conditionalFormatting>
  <conditionalFormatting sqref="T33:T37">
    <cfRule type="expression" dxfId="153" priority="103" stopIfTrue="1">
      <formula>$A33&lt;1</formula>
    </cfRule>
  </conditionalFormatting>
  <conditionalFormatting sqref="T27:T45">
    <cfRule type="expression" dxfId="152" priority="102" stopIfTrue="1">
      <formula>$A27&lt;1</formula>
    </cfRule>
  </conditionalFormatting>
  <conditionalFormatting sqref="T33:T37">
    <cfRule type="expression" dxfId="151" priority="101" stopIfTrue="1">
      <formula>$A33&lt;1</formula>
    </cfRule>
  </conditionalFormatting>
  <conditionalFormatting sqref="T27:T45">
    <cfRule type="expression" dxfId="150" priority="100" stopIfTrue="1">
      <formula>$A27&lt;1</formula>
    </cfRule>
  </conditionalFormatting>
  <conditionalFormatting sqref="T33:T37">
    <cfRule type="expression" dxfId="149" priority="99" stopIfTrue="1">
      <formula>$A33&lt;1</formula>
    </cfRule>
  </conditionalFormatting>
  <conditionalFormatting sqref="T27:T45">
    <cfRule type="expression" dxfId="148" priority="98" stopIfTrue="1">
      <formula>$A27&lt;1</formula>
    </cfRule>
  </conditionalFormatting>
  <conditionalFormatting sqref="T33:T37">
    <cfRule type="expression" dxfId="147" priority="97" stopIfTrue="1">
      <formula>$A33&lt;1</formula>
    </cfRule>
  </conditionalFormatting>
  <conditionalFormatting sqref="T27:T45">
    <cfRule type="expression" dxfId="146" priority="96" stopIfTrue="1">
      <formula>$A27&lt;1</formula>
    </cfRule>
  </conditionalFormatting>
  <conditionalFormatting sqref="T33:T37">
    <cfRule type="expression" dxfId="145" priority="95" stopIfTrue="1">
      <formula>$A33&lt;1</formula>
    </cfRule>
  </conditionalFormatting>
  <conditionalFormatting sqref="T27:T45">
    <cfRule type="expression" dxfId="144" priority="94" stopIfTrue="1">
      <formula>$A27&lt;1</formula>
    </cfRule>
  </conditionalFormatting>
  <conditionalFormatting sqref="T33:T37">
    <cfRule type="expression" dxfId="143" priority="93" stopIfTrue="1">
      <formula>$A33&lt;1</formula>
    </cfRule>
  </conditionalFormatting>
  <conditionalFormatting sqref="T27:T45">
    <cfRule type="expression" dxfId="142" priority="92" stopIfTrue="1">
      <formula>$A27&lt;1</formula>
    </cfRule>
  </conditionalFormatting>
  <conditionalFormatting sqref="T33:T37">
    <cfRule type="expression" dxfId="141" priority="91" stopIfTrue="1">
      <formula>$A33&lt;1</formula>
    </cfRule>
  </conditionalFormatting>
  <conditionalFormatting sqref="T27:T45">
    <cfRule type="expression" dxfId="140" priority="90" stopIfTrue="1">
      <formula>$A27&lt;1</formula>
    </cfRule>
  </conditionalFormatting>
  <conditionalFormatting sqref="T33:T37">
    <cfRule type="expression" dxfId="139" priority="89" stopIfTrue="1">
      <formula>$A33&lt;1</formula>
    </cfRule>
  </conditionalFormatting>
  <conditionalFormatting sqref="T27:T45">
    <cfRule type="expression" dxfId="138" priority="88" stopIfTrue="1">
      <formula>$A27&lt;1</formula>
    </cfRule>
  </conditionalFormatting>
  <conditionalFormatting sqref="T33:T37">
    <cfRule type="expression" dxfId="137" priority="87" stopIfTrue="1">
      <formula>$A33&lt;1</formula>
    </cfRule>
  </conditionalFormatting>
  <conditionalFormatting sqref="T27:T45">
    <cfRule type="expression" dxfId="136" priority="86" stopIfTrue="1">
      <formula>$A27&lt;1</formula>
    </cfRule>
  </conditionalFormatting>
  <conditionalFormatting sqref="T33:T37">
    <cfRule type="expression" dxfId="135" priority="85" stopIfTrue="1">
      <formula>$A33&lt;1</formula>
    </cfRule>
  </conditionalFormatting>
  <conditionalFormatting sqref="T27:T45">
    <cfRule type="expression" dxfId="134" priority="84" stopIfTrue="1">
      <formula>$A27&lt;1</formula>
    </cfRule>
  </conditionalFormatting>
  <conditionalFormatting sqref="T33:T37">
    <cfRule type="expression" dxfId="133" priority="83" stopIfTrue="1">
      <formula>$A33&lt;1</formula>
    </cfRule>
  </conditionalFormatting>
  <conditionalFormatting sqref="T27:T45">
    <cfRule type="expression" dxfId="132" priority="82" stopIfTrue="1">
      <formula>$A27&lt;1</formula>
    </cfRule>
  </conditionalFormatting>
  <conditionalFormatting sqref="T33:T37">
    <cfRule type="expression" dxfId="131" priority="81" stopIfTrue="1">
      <formula>$A33&lt;1</formula>
    </cfRule>
  </conditionalFormatting>
  <conditionalFormatting sqref="T27:T45">
    <cfRule type="expression" dxfId="130" priority="80" stopIfTrue="1">
      <formula>$A27&lt;1</formula>
    </cfRule>
  </conditionalFormatting>
  <conditionalFormatting sqref="T33:T37">
    <cfRule type="expression" dxfId="129" priority="79" stopIfTrue="1">
      <formula>$A33&lt;1</formula>
    </cfRule>
  </conditionalFormatting>
  <conditionalFormatting sqref="T27:T45">
    <cfRule type="expression" dxfId="128" priority="78" stopIfTrue="1">
      <formula>$A27&lt;1</formula>
    </cfRule>
  </conditionalFormatting>
  <conditionalFormatting sqref="T33:T37">
    <cfRule type="expression" dxfId="127" priority="77" stopIfTrue="1">
      <formula>$A33&lt;1</formula>
    </cfRule>
  </conditionalFormatting>
  <conditionalFormatting sqref="T27:T45">
    <cfRule type="expression" dxfId="126" priority="76" stopIfTrue="1">
      <formula>$A27&lt;1</formula>
    </cfRule>
  </conditionalFormatting>
  <conditionalFormatting sqref="T33:T37">
    <cfRule type="expression" dxfId="125" priority="75" stopIfTrue="1">
      <formula>$A33&lt;1</formula>
    </cfRule>
  </conditionalFormatting>
  <conditionalFormatting sqref="T27:T45">
    <cfRule type="expression" dxfId="124" priority="74" stopIfTrue="1">
      <formula>$A27&lt;1</formula>
    </cfRule>
  </conditionalFormatting>
  <conditionalFormatting sqref="T33:T37">
    <cfRule type="expression" dxfId="123" priority="73" stopIfTrue="1">
      <formula>$A33&lt;1</formula>
    </cfRule>
  </conditionalFormatting>
  <conditionalFormatting sqref="T27:T45">
    <cfRule type="expression" dxfId="122" priority="72" stopIfTrue="1">
      <formula>$A27&lt;1</formula>
    </cfRule>
  </conditionalFormatting>
  <conditionalFormatting sqref="T33:T37">
    <cfRule type="expression" dxfId="121" priority="71" stopIfTrue="1">
      <formula>$A33&lt;1</formula>
    </cfRule>
  </conditionalFormatting>
  <conditionalFormatting sqref="T27:T45">
    <cfRule type="expression" dxfId="120" priority="70" stopIfTrue="1">
      <formula>$A27&lt;1</formula>
    </cfRule>
  </conditionalFormatting>
  <conditionalFormatting sqref="T33:T37">
    <cfRule type="expression" dxfId="119" priority="69" stopIfTrue="1">
      <formula>$A33&lt;1</formula>
    </cfRule>
  </conditionalFormatting>
  <conditionalFormatting sqref="T27:T45">
    <cfRule type="expression" dxfId="118" priority="68" stopIfTrue="1">
      <formula>$A27&lt;1</formula>
    </cfRule>
  </conditionalFormatting>
  <conditionalFormatting sqref="T33:T37">
    <cfRule type="expression" dxfId="117" priority="67" stopIfTrue="1">
      <formula>$A33&lt;1</formula>
    </cfRule>
  </conditionalFormatting>
  <conditionalFormatting sqref="T27:T45">
    <cfRule type="expression" dxfId="116" priority="66" stopIfTrue="1">
      <formula>$A27&lt;1</formula>
    </cfRule>
  </conditionalFormatting>
  <conditionalFormatting sqref="T33:T37">
    <cfRule type="expression" dxfId="115" priority="65" stopIfTrue="1">
      <formula>$A33&lt;1</formula>
    </cfRule>
  </conditionalFormatting>
  <conditionalFormatting sqref="T27:T45">
    <cfRule type="expression" dxfId="114" priority="64" stopIfTrue="1">
      <formula>$A27&lt;1</formula>
    </cfRule>
  </conditionalFormatting>
  <conditionalFormatting sqref="T33:T37">
    <cfRule type="expression" dxfId="113" priority="63" stopIfTrue="1">
      <formula>$A33&lt;1</formula>
    </cfRule>
  </conditionalFormatting>
  <conditionalFormatting sqref="T27:T45">
    <cfRule type="expression" dxfId="112" priority="62" stopIfTrue="1">
      <formula>$A27&lt;1</formula>
    </cfRule>
  </conditionalFormatting>
  <conditionalFormatting sqref="T33:T37">
    <cfRule type="expression" dxfId="111" priority="61" stopIfTrue="1">
      <formula>$A33&lt;1</formula>
    </cfRule>
  </conditionalFormatting>
  <conditionalFormatting sqref="T27:T45">
    <cfRule type="expression" dxfId="110" priority="60" stopIfTrue="1">
      <formula>$A27&lt;1</formula>
    </cfRule>
  </conditionalFormatting>
  <conditionalFormatting sqref="T33:T37">
    <cfRule type="expression" dxfId="109" priority="59" stopIfTrue="1">
      <formula>$A33&lt;1</formula>
    </cfRule>
  </conditionalFormatting>
  <conditionalFormatting sqref="T27:T45">
    <cfRule type="expression" dxfId="108" priority="58" stopIfTrue="1">
      <formula>$A27&lt;1</formula>
    </cfRule>
  </conditionalFormatting>
  <conditionalFormatting sqref="T33:T37">
    <cfRule type="expression" dxfId="107" priority="57" stopIfTrue="1">
      <formula>$A33&lt;1</formula>
    </cfRule>
  </conditionalFormatting>
  <conditionalFormatting sqref="T27:T45">
    <cfRule type="expression" dxfId="106" priority="56" stopIfTrue="1">
      <formula>$A27&lt;1</formula>
    </cfRule>
  </conditionalFormatting>
  <conditionalFormatting sqref="T33:T37">
    <cfRule type="expression" dxfId="105" priority="55" stopIfTrue="1">
      <formula>$A33&lt;1</formula>
    </cfRule>
  </conditionalFormatting>
  <conditionalFormatting sqref="T27:T45">
    <cfRule type="expression" dxfId="104" priority="54" stopIfTrue="1">
      <formula>$A27&lt;1</formula>
    </cfRule>
  </conditionalFormatting>
  <conditionalFormatting sqref="T33:T37">
    <cfRule type="expression" dxfId="103" priority="53" stopIfTrue="1">
      <formula>$A33&lt;1</formula>
    </cfRule>
  </conditionalFormatting>
  <conditionalFormatting sqref="T27:T45">
    <cfRule type="expression" dxfId="102" priority="52" stopIfTrue="1">
      <formula>$A27&lt;1</formula>
    </cfRule>
  </conditionalFormatting>
  <conditionalFormatting sqref="T33:T37">
    <cfRule type="expression" dxfId="101" priority="51" stopIfTrue="1">
      <formula>$A33&lt;1</formula>
    </cfRule>
  </conditionalFormatting>
  <conditionalFormatting sqref="T27:T45">
    <cfRule type="expression" dxfId="100" priority="50" stopIfTrue="1">
      <formula>$A27&lt;1</formula>
    </cfRule>
  </conditionalFormatting>
  <conditionalFormatting sqref="T33:T37">
    <cfRule type="expression" dxfId="99" priority="49" stopIfTrue="1">
      <formula>$A33&lt;1</formula>
    </cfRule>
  </conditionalFormatting>
  <conditionalFormatting sqref="T27:T45">
    <cfRule type="expression" dxfId="98" priority="48" stopIfTrue="1">
      <formula>$A27&lt;1</formula>
    </cfRule>
  </conditionalFormatting>
  <conditionalFormatting sqref="T33:T37">
    <cfRule type="expression" dxfId="97" priority="47" stopIfTrue="1">
      <formula>$A33&lt;1</formula>
    </cfRule>
  </conditionalFormatting>
  <conditionalFormatting sqref="T27:T45">
    <cfRule type="expression" dxfId="96" priority="46" stopIfTrue="1">
      <formula>$A27&lt;1</formula>
    </cfRule>
  </conditionalFormatting>
  <conditionalFormatting sqref="T33:T37">
    <cfRule type="expression" dxfId="95" priority="45" stopIfTrue="1">
      <formula>$A33&lt;1</formula>
    </cfRule>
  </conditionalFormatting>
  <conditionalFormatting sqref="T27:T45">
    <cfRule type="expression" dxfId="94" priority="44" stopIfTrue="1">
      <formula>$A27&lt;1</formula>
    </cfRule>
  </conditionalFormatting>
  <conditionalFormatting sqref="T33:T37">
    <cfRule type="expression" dxfId="93" priority="43" stopIfTrue="1">
      <formula>$A33&lt;1</formula>
    </cfRule>
  </conditionalFormatting>
  <conditionalFormatting sqref="T27:T45">
    <cfRule type="expression" dxfId="92" priority="42" stopIfTrue="1">
      <formula>$A27&lt;1</formula>
    </cfRule>
  </conditionalFormatting>
  <conditionalFormatting sqref="T33:T37">
    <cfRule type="expression" dxfId="91" priority="41" stopIfTrue="1">
      <formula>$A33&lt;1</formula>
    </cfRule>
  </conditionalFormatting>
  <conditionalFormatting sqref="T27:T45">
    <cfRule type="expression" dxfId="90" priority="40" stopIfTrue="1">
      <formula>$A27&lt;1</formula>
    </cfRule>
  </conditionalFormatting>
  <conditionalFormatting sqref="T33:T37">
    <cfRule type="expression" dxfId="89" priority="39" stopIfTrue="1">
      <formula>$A33&lt;1</formula>
    </cfRule>
  </conditionalFormatting>
  <conditionalFormatting sqref="T27:T45">
    <cfRule type="expression" dxfId="88" priority="38" stopIfTrue="1">
      <formula>$A27&lt;1</formula>
    </cfRule>
  </conditionalFormatting>
  <conditionalFormatting sqref="T33:T37">
    <cfRule type="expression" dxfId="87" priority="37" stopIfTrue="1">
      <formula>$A33&lt;1</formula>
    </cfRule>
  </conditionalFormatting>
  <conditionalFormatting sqref="T27:T45">
    <cfRule type="expression" dxfId="86" priority="36" stopIfTrue="1">
      <formula>$A27&lt;1</formula>
    </cfRule>
  </conditionalFormatting>
  <conditionalFormatting sqref="T33:T37">
    <cfRule type="expression" dxfId="85" priority="35" stopIfTrue="1">
      <formula>$A33&lt;1</formula>
    </cfRule>
  </conditionalFormatting>
  <conditionalFormatting sqref="T27:T45">
    <cfRule type="expression" dxfId="84" priority="34" stopIfTrue="1">
      <formula>$A27&lt;1</formula>
    </cfRule>
  </conditionalFormatting>
  <conditionalFormatting sqref="T33:T37">
    <cfRule type="expression" dxfId="83" priority="33" stopIfTrue="1">
      <formula>$A33&lt;1</formula>
    </cfRule>
  </conditionalFormatting>
  <conditionalFormatting sqref="T27:T45">
    <cfRule type="expression" dxfId="82" priority="32" stopIfTrue="1">
      <formula>$A27&lt;1</formula>
    </cfRule>
  </conditionalFormatting>
  <conditionalFormatting sqref="T33:T37">
    <cfRule type="expression" dxfId="81" priority="31" stopIfTrue="1">
      <formula>$A33&lt;1</formula>
    </cfRule>
  </conditionalFormatting>
  <conditionalFormatting sqref="T27:T45">
    <cfRule type="expression" dxfId="80" priority="30" stopIfTrue="1">
      <formula>$A27&lt;1</formula>
    </cfRule>
  </conditionalFormatting>
  <conditionalFormatting sqref="T33:T37">
    <cfRule type="expression" dxfId="79" priority="29" stopIfTrue="1">
      <formula>$A33&lt;1</formula>
    </cfRule>
  </conditionalFormatting>
  <conditionalFormatting sqref="T27:T45">
    <cfRule type="expression" dxfId="78" priority="28" stopIfTrue="1">
      <formula>$A27&lt;1</formula>
    </cfRule>
  </conditionalFormatting>
  <conditionalFormatting sqref="T33:T37">
    <cfRule type="expression" dxfId="77" priority="27" stopIfTrue="1">
      <formula>$A33&lt;1</formula>
    </cfRule>
  </conditionalFormatting>
  <conditionalFormatting sqref="T27:T45">
    <cfRule type="expression" dxfId="76" priority="26" stopIfTrue="1">
      <formula>$A27&lt;1</formula>
    </cfRule>
  </conditionalFormatting>
  <conditionalFormatting sqref="T33:T37">
    <cfRule type="expression" dxfId="75" priority="25" stopIfTrue="1">
      <formula>$A33&lt;1</formula>
    </cfRule>
  </conditionalFormatting>
  <conditionalFormatting sqref="T27:T45">
    <cfRule type="expression" dxfId="74" priority="24" stopIfTrue="1">
      <formula>$A27&lt;1</formula>
    </cfRule>
  </conditionalFormatting>
  <conditionalFormatting sqref="T33:T37">
    <cfRule type="expression" dxfId="73" priority="23" stopIfTrue="1">
      <formula>$A33&lt;1</formula>
    </cfRule>
  </conditionalFormatting>
  <conditionalFormatting sqref="T27:T45">
    <cfRule type="expression" dxfId="72" priority="22" stopIfTrue="1">
      <formula>$A27&lt;1</formula>
    </cfRule>
  </conditionalFormatting>
  <conditionalFormatting sqref="T33:T37">
    <cfRule type="expression" dxfId="71" priority="21" stopIfTrue="1">
      <formula>$A33&lt;1</formula>
    </cfRule>
  </conditionalFormatting>
  <conditionalFormatting sqref="T27:T45">
    <cfRule type="expression" dxfId="70" priority="20" stopIfTrue="1">
      <formula>$A27&lt;1</formula>
    </cfRule>
  </conditionalFormatting>
  <conditionalFormatting sqref="T33:T37">
    <cfRule type="expression" dxfId="69" priority="19" stopIfTrue="1">
      <formula>$A33&lt;1</formula>
    </cfRule>
  </conditionalFormatting>
  <conditionalFormatting sqref="T27:T45">
    <cfRule type="expression" dxfId="68" priority="18" stopIfTrue="1">
      <formula>$A27&lt;1</formula>
    </cfRule>
  </conditionalFormatting>
  <conditionalFormatting sqref="T33:T37">
    <cfRule type="expression" dxfId="67" priority="17" stopIfTrue="1">
      <formula>$A33&lt;1</formula>
    </cfRule>
  </conditionalFormatting>
  <conditionalFormatting sqref="T27:T45">
    <cfRule type="expression" dxfId="66" priority="16" stopIfTrue="1">
      <formula>$A27&lt;1</formula>
    </cfRule>
  </conditionalFormatting>
  <conditionalFormatting sqref="T33:T37">
    <cfRule type="expression" dxfId="65" priority="15" stopIfTrue="1">
      <formula>$A33&lt;1</formula>
    </cfRule>
  </conditionalFormatting>
  <conditionalFormatting sqref="T27:T45">
    <cfRule type="expression" dxfId="64" priority="14" stopIfTrue="1">
      <formula>$A27&lt;1</formula>
    </cfRule>
  </conditionalFormatting>
  <conditionalFormatting sqref="T33:T37">
    <cfRule type="expression" dxfId="63" priority="13" stopIfTrue="1">
      <formula>$A33&lt;1</formula>
    </cfRule>
  </conditionalFormatting>
  <conditionalFormatting sqref="T27:T45">
    <cfRule type="expression" dxfId="62" priority="12" stopIfTrue="1">
      <formula>$A27&lt;1</formula>
    </cfRule>
  </conditionalFormatting>
  <conditionalFormatting sqref="T33:T37">
    <cfRule type="expression" dxfId="61" priority="11" stopIfTrue="1">
      <formula>$A33&lt;1</formula>
    </cfRule>
  </conditionalFormatting>
  <conditionalFormatting sqref="T27:T45">
    <cfRule type="expression" dxfId="60" priority="10" stopIfTrue="1">
      <formula>$A27&lt;1</formula>
    </cfRule>
  </conditionalFormatting>
  <conditionalFormatting sqref="T33:T37">
    <cfRule type="expression" dxfId="59" priority="9" stopIfTrue="1">
      <formula>$A33&lt;1</formula>
    </cfRule>
  </conditionalFormatting>
  <conditionalFormatting sqref="T27:T45">
    <cfRule type="expression" dxfId="58" priority="8" stopIfTrue="1">
      <formula>$A27&lt;1</formula>
    </cfRule>
  </conditionalFormatting>
  <conditionalFormatting sqref="T33:T37">
    <cfRule type="expression" dxfId="57" priority="7" stopIfTrue="1">
      <formula>$A33&lt;1</formula>
    </cfRule>
  </conditionalFormatting>
  <conditionalFormatting sqref="T27:T45">
    <cfRule type="expression" dxfId="56" priority="6" stopIfTrue="1">
      <formula>$A27&lt;1</formula>
    </cfRule>
  </conditionalFormatting>
  <conditionalFormatting sqref="T33:T37">
    <cfRule type="expression" dxfId="55" priority="5" stopIfTrue="1">
      <formula>$A33&lt;1</formula>
    </cfRule>
  </conditionalFormatting>
  <conditionalFormatting sqref="T27:T45">
    <cfRule type="expression" dxfId="54" priority="4" stopIfTrue="1">
      <formula>$A27&lt;1</formula>
    </cfRule>
  </conditionalFormatting>
  <conditionalFormatting sqref="T27:T45">
    <cfRule type="expression" dxfId="53" priority="3" stopIfTrue="1">
      <formula>$A27&lt;1</formula>
    </cfRule>
  </conditionalFormatting>
  <conditionalFormatting sqref="T27:T45">
    <cfRule type="expression" dxfId="52" priority="2" stopIfTrue="1">
      <formula>$A27&lt;1</formula>
    </cfRule>
  </conditionalFormatting>
  <conditionalFormatting sqref="T27:T45">
    <cfRule type="expression" dxfId="51" priority="1" stopIfTrue="1">
      <formula>$A27&lt;1</formula>
    </cfRule>
  </conditionalFormatting>
  <pageMargins left="0.70866141732283472" right="0.70866141732283472" top="0.78740157480314965" bottom="0.78740157480314965" header="0.31496062992125984" footer="0.31496062992125984"/>
  <pageSetup paperSize="9" scale="6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27"/>
  <sheetViews>
    <sheetView zoomScale="85" zoomScaleNormal="85" workbookViewId="0">
      <selection activeCell="H25" sqref="H25"/>
    </sheetView>
  </sheetViews>
  <sheetFormatPr baseColWidth="10" defaultRowHeight="14.5" x14ac:dyDescent="0.35"/>
  <cols>
    <col min="1" max="2" width="7.26953125" customWidth="1"/>
    <col min="3" max="3" width="8.26953125" customWidth="1"/>
    <col min="4" max="5" width="8.1796875" customWidth="1"/>
    <col min="6" max="6" width="7.54296875" customWidth="1"/>
    <col min="7" max="7" width="5.7265625" customWidth="1"/>
    <col min="8" max="9" width="8" customWidth="1"/>
    <col min="10" max="10" width="7.7265625" customWidth="1"/>
    <col min="11" max="11" width="8.26953125" customWidth="1"/>
    <col min="12" max="12" width="8.453125" customWidth="1"/>
    <col min="13" max="13" width="6.26953125" hidden="1" customWidth="1"/>
    <col min="14" max="14" width="6" customWidth="1"/>
    <col min="15" max="15" width="7.453125" customWidth="1"/>
    <col min="16" max="17" width="6" hidden="1" customWidth="1"/>
    <col min="18" max="18" width="6" customWidth="1"/>
    <col min="19" max="19" width="7" customWidth="1"/>
    <col min="20" max="21" width="5.81640625" hidden="1" customWidth="1"/>
    <col min="22" max="22" width="7.1796875" customWidth="1"/>
    <col min="23" max="23" width="6.81640625" customWidth="1"/>
    <col min="24" max="24" width="7.26953125" customWidth="1"/>
    <col min="25" max="25" width="8.26953125" customWidth="1"/>
    <col min="26" max="26" width="7.54296875" customWidth="1"/>
    <col min="27" max="27" width="5.81640625" customWidth="1"/>
    <col min="28" max="28" width="8.453125" customWidth="1"/>
    <col min="29" max="29" width="7.54296875" customWidth="1"/>
    <col min="30" max="30" width="6.81640625" hidden="1" customWidth="1"/>
    <col min="31" max="31" width="7.7265625" hidden="1" customWidth="1"/>
    <col min="32" max="32" width="9.453125" customWidth="1"/>
    <col min="33" max="33" width="6.81640625" customWidth="1"/>
    <col min="34" max="34" width="7.26953125" customWidth="1"/>
  </cols>
  <sheetData>
    <row r="1" spans="1:32" x14ac:dyDescent="0.35">
      <c r="A1" s="4" t="s">
        <v>316</v>
      </c>
      <c r="B1" s="4"/>
      <c r="T1" s="6"/>
      <c r="U1" s="6"/>
      <c r="W1" s="6" t="s">
        <v>5</v>
      </c>
    </row>
    <row r="2" spans="1:32" x14ac:dyDescent="0.35">
      <c r="A2" s="4"/>
      <c r="B2" s="4"/>
      <c r="W2" t="s">
        <v>380</v>
      </c>
      <c r="AF2" s="149" t="s">
        <v>381</v>
      </c>
    </row>
    <row r="3" spans="1:32" x14ac:dyDescent="0.35">
      <c r="C3" s="7" t="s">
        <v>6</v>
      </c>
      <c r="D3" s="134"/>
      <c r="E3" s="135"/>
      <c r="F3" s="135"/>
      <c r="G3" s="135"/>
      <c r="H3" s="135"/>
      <c r="I3" s="135"/>
      <c r="J3" s="135"/>
      <c r="K3" s="135"/>
      <c r="L3" s="135"/>
      <c r="M3" s="135"/>
      <c r="N3" s="135"/>
      <c r="O3" s="135"/>
      <c r="P3" s="135"/>
      <c r="Q3" s="135"/>
      <c r="R3" s="136"/>
    </row>
    <row r="4" spans="1:32" ht="15.5" x14ac:dyDescent="0.35">
      <c r="C4" s="7" t="s">
        <v>7</v>
      </c>
      <c r="D4" s="134"/>
      <c r="E4" s="135"/>
      <c r="F4" s="135"/>
      <c r="G4" s="135"/>
      <c r="H4" s="135"/>
      <c r="I4" s="135"/>
      <c r="J4" s="135"/>
      <c r="K4" s="135"/>
      <c r="L4" s="135"/>
      <c r="M4" s="135"/>
      <c r="N4" s="135"/>
      <c r="O4" s="135"/>
      <c r="P4" s="135"/>
      <c r="Q4" s="135"/>
      <c r="R4" s="136"/>
      <c r="X4" s="144" t="s">
        <v>10</v>
      </c>
      <c r="Y4" s="143" t="s">
        <v>11</v>
      </c>
    </row>
    <row r="5" spans="1:32" x14ac:dyDescent="0.35">
      <c r="C5" s="7" t="s">
        <v>8</v>
      </c>
      <c r="D5" s="287"/>
      <c r="E5" s="288"/>
      <c r="F5" s="288"/>
      <c r="G5" s="288"/>
      <c r="H5" s="288"/>
      <c r="I5" s="289"/>
      <c r="X5" s="14" t="s">
        <v>14</v>
      </c>
      <c r="Y5" s="15" t="s">
        <v>15</v>
      </c>
      <c r="Z5" s="61"/>
      <c r="AA5" s="61"/>
      <c r="AB5" s="61"/>
    </row>
    <row r="6" spans="1:32" x14ac:dyDescent="0.35">
      <c r="X6" s="17" t="s">
        <v>161</v>
      </c>
      <c r="Y6" s="15" t="s">
        <v>15</v>
      </c>
      <c r="Z6" s="61"/>
      <c r="AA6" s="61"/>
      <c r="AB6" s="61"/>
    </row>
    <row r="7" spans="1:32" x14ac:dyDescent="0.35">
      <c r="E7" s="4" t="s">
        <v>9</v>
      </c>
      <c r="X7" s="21" t="s">
        <v>21</v>
      </c>
      <c r="Y7" s="15" t="s">
        <v>22</v>
      </c>
    </row>
    <row r="8" spans="1:32" x14ac:dyDescent="0.35">
      <c r="E8" s="12" t="s">
        <v>12</v>
      </c>
      <c r="F8" s="16">
        <v>50</v>
      </c>
      <c r="L8" s="12" t="s">
        <v>13</v>
      </c>
      <c r="N8" s="200">
        <f>(F12-F13)</f>
        <v>1.0128048950593893</v>
      </c>
      <c r="X8" s="14" t="s">
        <v>162</v>
      </c>
      <c r="Y8" s="204" t="s">
        <v>302</v>
      </c>
    </row>
    <row r="9" spans="1:32" x14ac:dyDescent="0.35">
      <c r="E9" s="12" t="s">
        <v>16</v>
      </c>
      <c r="F9" s="16">
        <v>10</v>
      </c>
      <c r="L9" s="12" t="s">
        <v>17</v>
      </c>
      <c r="N9" s="200">
        <f>N8/F9</f>
        <v>0.10128048950593893</v>
      </c>
    </row>
    <row r="10" spans="1:32" x14ac:dyDescent="0.35">
      <c r="E10" s="12" t="s">
        <v>18</v>
      </c>
      <c r="F10" s="16">
        <v>100</v>
      </c>
      <c r="L10" s="12" t="s">
        <v>19</v>
      </c>
      <c r="N10" s="201">
        <f>(F10-F11)/F8</f>
        <v>0.02</v>
      </c>
      <c r="O10" s="19" t="s">
        <v>20</v>
      </c>
      <c r="R10" s="20">
        <f>1/N10</f>
        <v>50</v>
      </c>
      <c r="W10" s="207" t="s">
        <v>69</v>
      </c>
    </row>
    <row r="11" spans="1:32" x14ac:dyDescent="0.35">
      <c r="E11" s="12" t="s">
        <v>23</v>
      </c>
      <c r="F11" s="16">
        <v>99</v>
      </c>
      <c r="M11" s="12"/>
      <c r="O11" s="62" t="s">
        <v>68</v>
      </c>
      <c r="R11" s="23">
        <f>N10*100</f>
        <v>2</v>
      </c>
      <c r="W11" t="s">
        <v>176</v>
      </c>
    </row>
    <row r="12" spans="1:32" x14ac:dyDescent="0.35">
      <c r="E12" s="12" t="s">
        <v>24</v>
      </c>
      <c r="F12" s="16">
        <v>100.81280489505939</v>
      </c>
      <c r="W12" t="s">
        <v>177</v>
      </c>
    </row>
    <row r="13" spans="1:32" x14ac:dyDescent="0.35">
      <c r="E13" s="12" t="s">
        <v>25</v>
      </c>
      <c r="F13" s="16">
        <v>99.8</v>
      </c>
      <c r="O13" s="11" t="s">
        <v>27</v>
      </c>
      <c r="R13" s="23">
        <f>SUMIF(A25:A125,"=1",X25:X125)</f>
        <v>1.4793266756303574</v>
      </c>
      <c r="W13" t="s">
        <v>178</v>
      </c>
    </row>
    <row r="14" spans="1:32" x14ac:dyDescent="0.35">
      <c r="E14" s="12" t="s">
        <v>26</v>
      </c>
      <c r="F14" s="16">
        <v>0.5</v>
      </c>
    </row>
    <row r="15" spans="1:32" x14ac:dyDescent="0.35">
      <c r="E15" s="12" t="s">
        <v>28</v>
      </c>
      <c r="F15" s="16">
        <v>0.75</v>
      </c>
      <c r="O15" s="76" t="s">
        <v>150</v>
      </c>
      <c r="R15" s="23">
        <f>2*$F$15</f>
        <v>1.5</v>
      </c>
      <c r="W15" s="24" t="s">
        <v>29</v>
      </c>
    </row>
    <row r="16" spans="1:32" x14ac:dyDescent="0.35">
      <c r="E16" s="12" t="s">
        <v>31</v>
      </c>
      <c r="F16" s="16">
        <v>0.1</v>
      </c>
      <c r="O16" s="76" t="s">
        <v>39</v>
      </c>
      <c r="R16" s="23">
        <f>5*$F$15</f>
        <v>3.75</v>
      </c>
      <c r="W16" s="24" t="s">
        <v>32</v>
      </c>
    </row>
    <row r="17" spans="1:35" ht="16.5" x14ac:dyDescent="0.35">
      <c r="E17" s="26" t="s">
        <v>34</v>
      </c>
      <c r="F17" s="16">
        <v>0.4</v>
      </c>
      <c r="O17" s="76" t="s">
        <v>181</v>
      </c>
      <c r="R17" s="23">
        <f>6*(L26-D26)</f>
        <v>4.2731117960218796</v>
      </c>
      <c r="W17" s="25" t="s">
        <v>30</v>
      </c>
    </row>
    <row r="18" spans="1:35" x14ac:dyDescent="0.35">
      <c r="E18" s="12" t="s">
        <v>35</v>
      </c>
      <c r="F18" s="16">
        <v>0.4</v>
      </c>
      <c r="W18" s="25" t="s">
        <v>33</v>
      </c>
    </row>
    <row r="19" spans="1:35" x14ac:dyDescent="0.35">
      <c r="E19" s="11" t="s">
        <v>70</v>
      </c>
      <c r="F19" s="16">
        <v>4</v>
      </c>
      <c r="O19" s="205" t="s">
        <v>303</v>
      </c>
      <c r="P19" s="205"/>
      <c r="Q19" s="205"/>
      <c r="R19" s="205" t="s">
        <v>304</v>
      </c>
    </row>
    <row r="20" spans="1:35" x14ac:dyDescent="0.35">
      <c r="E20" s="12" t="s">
        <v>180</v>
      </c>
      <c r="F20" s="28">
        <v>0</v>
      </c>
      <c r="N20" s="205" t="s">
        <v>305</v>
      </c>
      <c r="O20" s="23">
        <f>10*(E25-F11)</f>
        <v>15</v>
      </c>
      <c r="R20" s="23">
        <f>7*(E25-F11)</f>
        <v>10.5</v>
      </c>
      <c r="W20" s="27" t="s">
        <v>36</v>
      </c>
      <c r="X20" s="27"/>
    </row>
    <row r="21" spans="1:35" x14ac:dyDescent="0.35">
      <c r="E21" s="12" t="s">
        <v>41</v>
      </c>
      <c r="F21" s="28">
        <v>1.1000000000000001</v>
      </c>
      <c r="N21" s="205" t="s">
        <v>306</v>
      </c>
      <c r="O21" s="23">
        <f>0.5*(E25-F11)</f>
        <v>0.75</v>
      </c>
      <c r="R21" s="23">
        <f>0.333*(E25-F11)</f>
        <v>0.49950000000000006</v>
      </c>
      <c r="W21" s="83" t="s">
        <v>38</v>
      </c>
      <c r="X21" s="84"/>
      <c r="Y21" s="122"/>
      <c r="Z21" s="30"/>
      <c r="AA21" s="123"/>
    </row>
    <row r="22" spans="1:35" ht="15" thickBot="1" x14ac:dyDescent="0.4">
      <c r="E22" s="12"/>
    </row>
    <row r="23" spans="1:35" ht="15" thickBot="1" x14ac:dyDescent="0.4">
      <c r="A23" s="290" t="s">
        <v>42</v>
      </c>
      <c r="B23" s="291"/>
      <c r="C23" s="291"/>
      <c r="D23" s="291"/>
      <c r="E23" s="291"/>
      <c r="F23" s="291"/>
      <c r="G23" s="291"/>
      <c r="H23" s="291"/>
      <c r="I23" s="291"/>
      <c r="J23" s="291"/>
      <c r="K23" s="291"/>
      <c r="L23" s="291"/>
      <c r="M23" s="291"/>
      <c r="N23" s="291"/>
      <c r="O23" s="291"/>
      <c r="P23" s="291"/>
      <c r="Q23" s="291"/>
      <c r="R23" s="291"/>
      <c r="S23" s="291"/>
      <c r="T23" s="291"/>
      <c r="U23" s="291"/>
      <c r="V23" s="291"/>
      <c r="W23" s="291"/>
      <c r="X23" s="292"/>
      <c r="Y23" s="293" t="s">
        <v>71</v>
      </c>
      <c r="Z23" s="294"/>
      <c r="AA23" s="294"/>
      <c r="AB23" s="294"/>
      <c r="AC23" s="294"/>
      <c r="AD23" s="294"/>
      <c r="AE23" s="294"/>
      <c r="AF23" s="294"/>
      <c r="AG23" s="294"/>
      <c r="AH23" s="286"/>
    </row>
    <row r="24" spans="1:35" ht="109.5" customHeight="1" x14ac:dyDescent="0.45">
      <c r="A24" s="33" t="s">
        <v>290</v>
      </c>
      <c r="B24" s="34" t="s">
        <v>44</v>
      </c>
      <c r="C24" s="34" t="s">
        <v>307</v>
      </c>
      <c r="D24" s="33" t="s">
        <v>308</v>
      </c>
      <c r="E24" s="33" t="s">
        <v>47</v>
      </c>
      <c r="F24" s="35" t="s">
        <v>48</v>
      </c>
      <c r="G24" s="33" t="s">
        <v>72</v>
      </c>
      <c r="H24" s="33" t="s">
        <v>73</v>
      </c>
      <c r="I24" s="33" t="s">
        <v>74</v>
      </c>
      <c r="J24" s="35" t="s">
        <v>75</v>
      </c>
      <c r="K24" s="33" t="s">
        <v>24</v>
      </c>
      <c r="L24" s="33" t="s">
        <v>25</v>
      </c>
      <c r="M24" s="33" t="s">
        <v>52</v>
      </c>
      <c r="N24" s="33" t="s">
        <v>323</v>
      </c>
      <c r="O24" s="33" t="s">
        <v>289</v>
      </c>
      <c r="P24" s="133" t="s">
        <v>160</v>
      </c>
      <c r="Q24" s="133" t="s">
        <v>159</v>
      </c>
      <c r="R24" s="37" t="s">
        <v>56</v>
      </c>
      <c r="S24" s="38" t="s">
        <v>57</v>
      </c>
      <c r="T24" s="39" t="s">
        <v>58</v>
      </c>
      <c r="U24" s="39" t="s">
        <v>78</v>
      </c>
      <c r="V24" s="33" t="s">
        <v>309</v>
      </c>
      <c r="W24" s="33" t="s">
        <v>62</v>
      </c>
      <c r="X24" s="34" t="s">
        <v>79</v>
      </c>
      <c r="Y24" s="36" t="s">
        <v>80</v>
      </c>
      <c r="Z24" s="36" t="s">
        <v>152</v>
      </c>
      <c r="AA24" s="36" t="s">
        <v>151</v>
      </c>
      <c r="AB24" s="36" t="s">
        <v>155</v>
      </c>
      <c r="AC24" s="36" t="s">
        <v>81</v>
      </c>
      <c r="AD24" s="36" t="s">
        <v>153</v>
      </c>
      <c r="AE24" s="36" t="s">
        <v>154</v>
      </c>
      <c r="AF24" s="77" t="s">
        <v>83</v>
      </c>
      <c r="AG24" s="77" t="s">
        <v>84</v>
      </c>
      <c r="AH24" s="36" t="s">
        <v>179</v>
      </c>
    </row>
    <row r="25" spans="1:35" x14ac:dyDescent="0.35">
      <c r="A25" s="63">
        <f>$F$9</f>
        <v>10</v>
      </c>
      <c r="B25" s="55">
        <f t="shared" ref="B25:B88" si="0">IF(A25=1,0,B26+AF25+$F$18)</f>
        <v>49.599999999999973</v>
      </c>
      <c r="C25" s="64">
        <f>$F$10</f>
        <v>100</v>
      </c>
      <c r="D25" s="64">
        <f t="shared" ref="D25:D56" si="1">C25-$F$18*$N$10</f>
        <v>99.992000000000004</v>
      </c>
      <c r="E25" s="65">
        <f>C25+$F$14</f>
        <v>100.5</v>
      </c>
      <c r="F25" s="60">
        <v>0.5</v>
      </c>
      <c r="G25" s="66">
        <v>6</v>
      </c>
      <c r="H25" s="67">
        <f t="shared" ref="H25:H88" si="2">IF(L25&gt;E25,(1-((L25-E25)/(K25-E25))^$F$19)^0.5,1)</f>
        <v>0.90684578729241683</v>
      </c>
      <c r="I25" s="64">
        <f>C25+$F$16</f>
        <v>100.1</v>
      </c>
      <c r="J25" s="68">
        <v>0.6</v>
      </c>
      <c r="K25" s="64">
        <f>$F$12</f>
        <v>100.81280489505939</v>
      </c>
      <c r="L25" s="64">
        <f>IF(A25=1,$F$13,K26)</f>
        <v>100.70307340860086</v>
      </c>
      <c r="M25" s="56">
        <f>K25-I25</f>
        <v>0.71280489505939215</v>
      </c>
      <c r="N25" s="56">
        <f>L25-I25</f>
        <v>0.60307340860086356</v>
      </c>
      <c r="O25" s="69">
        <f>N25+$F$16-$F$20/9</f>
        <v>0.70307340860086354</v>
      </c>
      <c r="P25" s="45">
        <f>(((M25+$F$16)^(3/2)*SQRT(2*9.81)*($F$15-$F$17)*U25*0.55*2/3)^2/((9.81*($F$15-$F$17+0.0000001)^2)))^(1/3)</f>
        <v>0.45103139103784812</v>
      </c>
      <c r="Q25" s="45">
        <f>((M25^(3/2)*SQRT(2*9.81)*$F$17*T25*J25*2/3)^2/(9.81*(IF($F$17=0,0.000001,$F$17))^2))^(1/3)</f>
        <v>0.43439516816186136</v>
      </c>
      <c r="R25" s="45" t="str">
        <f>IF(AND(P25&lt;O25,Q25&lt;N25),"okay",IF(OR(P25&lt;O25,Q25&lt;N25),IF(F$17&lt;F$15,"tlw.okay","nicht okay"),"nicht okay"))</f>
        <v>okay</v>
      </c>
      <c r="S25" s="70">
        <f>K25-L25</f>
        <v>0.10973148645852859</v>
      </c>
      <c r="T25" s="56">
        <f>IF((N25/M25)&lt;0.5,1,IF((N25/M25)&gt;1,0,1-(N25/M25)^11))</f>
        <v>0.84100093659343444</v>
      </c>
      <c r="U25" s="56">
        <f>IF((N25+$F$16)/(M25+$F$16)&lt;0.5,1,IF((N25+$F$16)/(M25+$F$16)&gt;1,0,1-((N25+$F$16)/(M25+$F$16))^11))</f>
        <v>0.79715795394133948</v>
      </c>
      <c r="V25" s="56">
        <f t="shared" ref="V25:V88" si="3">IF(K25&gt;E25,SQRT(2*9.81)*SQRT((K25-E25)^3)*F25*G25*H25*2/3,0)</f>
        <v>1.4054753983509005</v>
      </c>
      <c r="W25" s="71">
        <f>IF(M25&gt;0,M25^(3/2)*SQRT(2*9.81)*$F$17*T25*J25*2/3*$F$21,0)+(M25+$F$16)^(3/2)*SQRT(2*9.81)*($F$15-$F$17)*U25*0.55*2/3*$F$21+V25</f>
        <v>2.1652997120149169</v>
      </c>
      <c r="X25" s="72">
        <f t="shared" ref="X25:X88" si="4">(2*9.81*S25)^0.5</f>
        <v>1.4672872126193737</v>
      </c>
      <c r="Y25" s="66">
        <v>1.5</v>
      </c>
      <c r="Z25" s="66">
        <v>2</v>
      </c>
      <c r="AA25" s="66">
        <v>2</v>
      </c>
      <c r="AB25" s="56">
        <f>Y25+(E25-D25)*(Z25+AA25)</f>
        <v>3.5319999999999823</v>
      </c>
      <c r="AC25" s="73">
        <f t="shared" ref="AC25:AC88" si="5">IF(A25=1," ",9810*S25*W25/(AE25*AF25))</f>
        <v>197.38985180556304</v>
      </c>
      <c r="AD25" s="56">
        <f>IF(A25=1," ",((L25-D25)+(K26-C26))/2)</f>
        <v>0.76218451971196544</v>
      </c>
      <c r="AE25" s="48">
        <f t="shared" ref="AE25:AE88" si="6">IF(A25=1," ",(((L25-D25)*(Y25+0.5*(L25-D25)*(Z25+AA25))+(K26-C26)*(Y25+0.5*(K26-C26)*(Z25+AA25)))/2))</f>
        <v>2.3103519551030915</v>
      </c>
      <c r="AF25" s="72">
        <f>IF(A25=1," ",($F$8-$F$18)/($F$9-1)-$F$18)</f>
        <v>5.1111111111111107</v>
      </c>
      <c r="AG25" s="72">
        <f t="shared" ref="AG25:AG88" si="7">IF(A25=1," ",W25/AE25)</f>
        <v>0.93721638698044074</v>
      </c>
      <c r="AH25" s="72" t="str">
        <f>IF(A25=1," ",IF(OR((K25-C25)&lt;1.5*$F$14,(K25-C25)=1.5*$F$14),"Okay","Achtung!"))</f>
        <v>Achtung!</v>
      </c>
      <c r="AI25" s="121"/>
    </row>
    <row r="26" spans="1:35" x14ac:dyDescent="0.35">
      <c r="A26" s="63">
        <f>A25-1</f>
        <v>9</v>
      </c>
      <c r="B26" s="55">
        <f t="shared" si="0"/>
        <v>44.088888888888867</v>
      </c>
      <c r="C26" s="55">
        <f t="shared" ref="C26:C57" si="8">C25-((AF25+$F$18)*$N$10)</f>
        <v>99.88977777777778</v>
      </c>
      <c r="D26" s="55">
        <f t="shared" si="1"/>
        <v>99.881777777777785</v>
      </c>
      <c r="E26" s="74">
        <f>C26+$F$14</f>
        <v>100.38977777777778</v>
      </c>
      <c r="F26" s="60">
        <f>F25</f>
        <v>0.5</v>
      </c>
      <c r="G26" s="66">
        <v>6</v>
      </c>
      <c r="H26" s="56">
        <f t="shared" si="2"/>
        <v>0.90530752946339199</v>
      </c>
      <c r="I26" s="55">
        <f>C26+$F$16</f>
        <v>99.989777777777775</v>
      </c>
      <c r="J26" s="75">
        <f>J25</f>
        <v>0.6</v>
      </c>
      <c r="K26" s="64">
        <f>L26+S26</f>
        <v>100.70307340860086</v>
      </c>
      <c r="L26" s="64">
        <f>IF(A26=1,$F$13,K27)</f>
        <v>100.59396307711476</v>
      </c>
      <c r="M26" s="56">
        <f>K26-I26</f>
        <v>0.71329563082308312</v>
      </c>
      <c r="N26" s="56">
        <f>L26-I26</f>
        <v>0.60418529933699006</v>
      </c>
      <c r="O26" s="69">
        <f>N26+$F$16-$F$20/9</f>
        <v>0.70418529933699003</v>
      </c>
      <c r="P26" s="45">
        <f>(((M26+$F$16)^(3/2)*SQRT(2*9.81)*($F$15-$F$17)*U26*0.55*2/3)^2/((9.81*($F$15-$F$17+0.0000001)^2)))^(1/3)</f>
        <v>0.45047641649893555</v>
      </c>
      <c r="Q26" s="45">
        <f>((M26^(3/2)*SQRT(2*9.81)*$F$17*T26*J26*2/3)^2/(9.81*(IF($F$17=0,0.000001,$F$17))^2))^(1/3)</f>
        <v>0.43399415719762868</v>
      </c>
      <c r="R26" s="45" t="str">
        <f>IF(AND(P26&lt;O26,Q26&lt;N26),"okay",IF(OR(P26&lt;O26,Q26&lt;N26),IF(F$17&lt;F$15,"tlw.okay","nicht okay"),"nicht okay"))</f>
        <v>okay</v>
      </c>
      <c r="S26" s="52">
        <v>0.10911033148609084</v>
      </c>
      <c r="T26" s="56">
        <f>IF((N26/M26)&lt;0.5,1,IF((N26/M26)&gt;1,0,1-(N26/M26)^11))</f>
        <v>0.83897011129114896</v>
      </c>
      <c r="U26" s="56">
        <f t="shared" ref="U26:U89" si="9">IF((N26+$F$16)/(M26+$F$16)&lt;0.5,1,IF((N26+$F$16)/(M26+$F$16)&gt;1,0,1-((N26+$F$16)/(M26+$F$16))^11))</f>
        <v>0.79496704652045036</v>
      </c>
      <c r="V26" s="56">
        <f>IF(K26&gt;E26,SQRT(2*9.81)*SQRT((K26-E26)^3)*F26*G26*H26*2/3,0)</f>
        <v>1.4063944279340248</v>
      </c>
      <c r="W26" s="71">
        <f>IF(M26&gt;0,M26^(3/2)*SQRT(2*9.81)*$F$17*T26*J26*2/3*$F$21,0)+(M26+$F$16)^(3/2)*SQRT(2*9.81)*($F$15-$F$17)*U26*0.55*2/3*$F$21+V26</f>
        <v>2.1649985571710144</v>
      </c>
      <c r="X26" s="56">
        <f t="shared" si="4"/>
        <v>1.4631283961966914</v>
      </c>
      <c r="Y26" s="66">
        <v>1.5</v>
      </c>
      <c r="Z26" s="66">
        <v>2</v>
      </c>
      <c r="AA26" s="66">
        <v>2</v>
      </c>
      <c r="AB26" s="124">
        <f t="shared" ref="AB26:AB89" si="10">Y26+(E26-D26)*(Z26+AA26)</f>
        <v>3.5319999999999823</v>
      </c>
      <c r="AC26" s="73">
        <f t="shared" si="5"/>
        <v>195.81631250290275</v>
      </c>
      <c r="AD26" s="56">
        <f>IF(A26=1," ",((L26-D26)+(K27-C27))/2)</f>
        <v>0.76329641044809193</v>
      </c>
      <c r="AE26" s="48">
        <f>IF(A26=1," ",(((L26-D26)*(Y26+0.5*(L26-D26)*(Z26+AA26))+(K27-C27)*(Y26+0.5*(K27-C27)*(Z26+AA26)))/2))</f>
        <v>2.3154121274360469</v>
      </c>
      <c r="AF26" s="72">
        <f>IF(A26=1," ",($F$8-$F$18)/($F$9-1)-$F$18)</f>
        <v>5.1111111111111107</v>
      </c>
      <c r="AG26" s="72">
        <f t="shared" si="7"/>
        <v>0.93503810035253132</v>
      </c>
      <c r="AH26" s="72" t="str">
        <f t="shared" ref="AH26:AH89" si="11">IF(A26=1," ",IF(OR((K26-C26)&lt;1.5*$F$14,(K26-C26)=1.5*$F$14),"Okay","Achtung!"))</f>
        <v>Achtung!</v>
      </c>
      <c r="AI26" s="121"/>
    </row>
    <row r="27" spans="1:35" x14ac:dyDescent="0.35">
      <c r="A27" s="63">
        <f t="shared" ref="A27:A90" si="12">A26-1</f>
        <v>8</v>
      </c>
      <c r="B27" s="55">
        <f t="shared" si="0"/>
        <v>38.577777777777762</v>
      </c>
      <c r="C27" s="55">
        <f t="shared" si="8"/>
        <v>99.779555555555561</v>
      </c>
      <c r="D27" s="55">
        <f t="shared" si="1"/>
        <v>99.771555555555565</v>
      </c>
      <c r="E27" s="74">
        <f t="shared" ref="E27:E90" si="13">C27+$F$14</f>
        <v>100.27955555555556</v>
      </c>
      <c r="F27" s="60">
        <f t="shared" ref="F27:F90" si="14">F26</f>
        <v>0.5</v>
      </c>
      <c r="G27" s="66">
        <v>6</v>
      </c>
      <c r="H27" s="56">
        <f t="shared" si="2"/>
        <v>0.90183827863692201</v>
      </c>
      <c r="I27" s="55">
        <f t="shared" ref="I27:I90" si="15">C27+$F$16</f>
        <v>99.879555555555555</v>
      </c>
      <c r="J27" s="75">
        <f t="shared" ref="J27:J90" si="16">J26</f>
        <v>0.6</v>
      </c>
      <c r="K27" s="64">
        <f t="shared" ref="K27:K90" si="17">L27+S27</f>
        <v>100.59396307711476</v>
      </c>
      <c r="L27" s="64">
        <f t="shared" ref="L27:L90" si="18">IF(A27=1,$F$13,K28)</f>
        <v>100.48622290261123</v>
      </c>
      <c r="M27" s="56">
        <f t="shared" ref="M27:M90" si="19">K27-I27</f>
        <v>0.71440752155920961</v>
      </c>
      <c r="N27" s="56">
        <f t="shared" ref="N27:N90" si="20">L27-I27</f>
        <v>0.60666734705567649</v>
      </c>
      <c r="O27" s="69">
        <f t="shared" ref="O27:O90" si="21">N27+$F$16-$F$20/9</f>
        <v>0.70666734705567646</v>
      </c>
      <c r="P27" s="45">
        <f t="shared" ref="P27:P90" si="22">(((M27+$F$16)^(3/2)*SQRT(2*9.81)*($F$15-$F$17)*U27*0.55*2/3)^2/((9.81*($F$15-$F$17+0.0000001)^2)))^(1/3)</f>
        <v>0.4492321482991265</v>
      </c>
      <c r="Q27" s="45">
        <f t="shared" ref="Q27:Q90" si="23">((M27^(3/2)*SQRT(2*9.81)*$F$17*T27*J27*2/3)^2/(9.81*(IF($F$17=0,0.000001,$F$17))^2))^(1/3)</f>
        <v>0.4330919978885624</v>
      </c>
      <c r="R27" s="45" t="str">
        <f>IF(AND(P27&lt;O27,Q27&lt;N27),"okay",IF(OR(P27&lt;O27,Q27&lt;N27),IF(F$17&lt;F$15,"tlw.okay","nicht okay"),"nicht okay"))</f>
        <v>okay</v>
      </c>
      <c r="S27" s="52">
        <v>0.10774017450353422</v>
      </c>
      <c r="T27" s="56">
        <f t="shared" ref="T27:T89" si="24">IF((N27/M27)&lt;0.5,1,IF((N27/M27)&gt;1,0,1-(N27/M27)^11))</f>
        <v>0.83440370258901519</v>
      </c>
      <c r="U27" s="56">
        <f t="shared" si="9"/>
        <v>0.79005490527196287</v>
      </c>
      <c r="V27" s="56">
        <f t="shared" si="3"/>
        <v>1.4084698437108931</v>
      </c>
      <c r="W27" s="71">
        <f>IF(M27&gt;0,M27^(3/2)*SQRT(2*9.81)*$F$17*T27*J27*2/3*$F$21,0)+(M27+$F$16)^(3/2)*SQRT(2*9.81)*($F$15-$F$17)*U27*0.55*2/3*$F$21+V27</f>
        <v>2.1643365193471276</v>
      </c>
      <c r="X27" s="56">
        <f t="shared" si="4"/>
        <v>1.4539127290726019</v>
      </c>
      <c r="Y27" s="66">
        <v>1.5</v>
      </c>
      <c r="Z27" s="66">
        <v>2</v>
      </c>
      <c r="AA27" s="66">
        <v>2</v>
      </c>
      <c r="AB27" s="56">
        <f t="shared" si="10"/>
        <v>3.5319999999999823</v>
      </c>
      <c r="AC27" s="73">
        <f t="shared" si="5"/>
        <v>192.3583155784153</v>
      </c>
      <c r="AD27" s="56">
        <f t="shared" ref="AD27:AD90" si="25">IF(A27=1," ",((L27-D27)+(K28-C28))/2)</f>
        <v>0.76577845816677836</v>
      </c>
      <c r="AE27" s="48">
        <f t="shared" si="6"/>
        <v>2.3267256725927692</v>
      </c>
      <c r="AF27" s="72">
        <f t="shared" ref="AF27:AF90" si="26">IF(A27=1," ",($F$8-$F$18)/($F$9-1)-$F$18)</f>
        <v>5.1111111111111107</v>
      </c>
      <c r="AG27" s="72">
        <f t="shared" si="7"/>
        <v>0.93020700499484132</v>
      </c>
      <c r="AH27" s="72" t="str">
        <f t="shared" si="11"/>
        <v>Achtung!</v>
      </c>
      <c r="AI27" s="121"/>
    </row>
    <row r="28" spans="1:35" x14ac:dyDescent="0.35">
      <c r="A28" s="63">
        <f t="shared" si="12"/>
        <v>7</v>
      </c>
      <c r="B28" s="55">
        <f>IF(A28=1,0,B29+AF28+$F$18)</f>
        <v>33.066666666666656</v>
      </c>
      <c r="C28" s="55">
        <f t="shared" si="8"/>
        <v>99.669333333333341</v>
      </c>
      <c r="D28" s="55">
        <f t="shared" si="1"/>
        <v>99.661333333333346</v>
      </c>
      <c r="E28" s="74">
        <f t="shared" si="13"/>
        <v>100.16933333333334</v>
      </c>
      <c r="F28" s="60">
        <f t="shared" si="14"/>
        <v>0.5</v>
      </c>
      <c r="G28" s="66">
        <v>6</v>
      </c>
      <c r="H28" s="56">
        <f t="shared" si="2"/>
        <v>0.89417429247265601</v>
      </c>
      <c r="I28" s="55">
        <f t="shared" si="15"/>
        <v>99.769333333333336</v>
      </c>
      <c r="J28" s="75">
        <f t="shared" si="16"/>
        <v>0.6</v>
      </c>
      <c r="K28" s="64">
        <f t="shared" si="17"/>
        <v>100.48622290261123</v>
      </c>
      <c r="L28" s="64">
        <f t="shared" si="18"/>
        <v>100.38136988070895</v>
      </c>
      <c r="M28" s="56">
        <f t="shared" si="19"/>
        <v>0.71688956927789604</v>
      </c>
      <c r="N28" s="56">
        <f t="shared" si="20"/>
        <v>0.61203654737560953</v>
      </c>
      <c r="O28" s="69">
        <f t="shared" si="21"/>
        <v>0.71203654737560951</v>
      </c>
      <c r="P28" s="45">
        <f t="shared" si="22"/>
        <v>0.44651698458641642</v>
      </c>
      <c r="Q28" s="45">
        <f t="shared" si="23"/>
        <v>0.43110883621598473</v>
      </c>
      <c r="R28" s="45" t="str">
        <f t="shared" ref="R28:R91" si="27">IF(AND(P28&lt;O28,Q28&lt;N28),"okay",IF(OR(P28&lt;O28,Q28&lt;N28),IF(F$17&lt;F$15,"tlw.okay","nicht okay"),"nicht okay"))</f>
        <v>okay</v>
      </c>
      <c r="S28" s="52">
        <v>0.1048530219022816</v>
      </c>
      <c r="T28" s="56">
        <f t="shared" si="24"/>
        <v>0.82437916169160086</v>
      </c>
      <c r="U28" s="56">
        <f t="shared" si="9"/>
        <v>0.77933762668020923</v>
      </c>
      <c r="V28" s="56">
        <f t="shared" si="3"/>
        <v>1.4130697298711803</v>
      </c>
      <c r="W28" s="71">
        <f>IF(M28&gt;0,M28^(3/2)*SQRT(2*9.81)*$F$17*T28*J28*2/3*$F$21,0)+(M28+$F$16)^(3/2)*SQRT(2*9.81)*($F$15-$F$17)*U28*0.55*2/3*$F$21+V28</f>
        <v>2.1629548868418387</v>
      </c>
      <c r="X28" s="56">
        <f t="shared" si="4"/>
        <v>1.4342999301829327</v>
      </c>
      <c r="Y28" s="66">
        <v>2.5</v>
      </c>
      <c r="Z28" s="120">
        <v>1</v>
      </c>
      <c r="AA28" s="66">
        <v>2</v>
      </c>
      <c r="AB28" s="56">
        <f t="shared" si="10"/>
        <v>4.0239999999999867</v>
      </c>
      <c r="AC28" s="73">
        <f t="shared" si="5"/>
        <v>154.15215116343376</v>
      </c>
      <c r="AD28" s="56">
        <f t="shared" si="25"/>
        <v>0.77114765848671141</v>
      </c>
      <c r="AE28" s="48">
        <f t="shared" si="6"/>
        <v>2.8237907315196038</v>
      </c>
      <c r="AF28" s="72">
        <f t="shared" si="26"/>
        <v>5.1111111111111107</v>
      </c>
      <c r="AG28" s="72">
        <f t="shared" si="7"/>
        <v>0.76597563080669906</v>
      </c>
      <c r="AH28" s="72" t="str">
        <f t="shared" si="11"/>
        <v>Achtung!</v>
      </c>
      <c r="AI28" s="121"/>
    </row>
    <row r="29" spans="1:35" x14ac:dyDescent="0.35">
      <c r="A29" s="63">
        <f t="shared" si="12"/>
        <v>6</v>
      </c>
      <c r="B29" s="55">
        <f t="shared" si="0"/>
        <v>27.55555555555555</v>
      </c>
      <c r="C29" s="55">
        <f t="shared" si="8"/>
        <v>99.559111111111122</v>
      </c>
      <c r="D29" s="55">
        <f t="shared" si="1"/>
        <v>99.551111111111126</v>
      </c>
      <c r="E29" s="74">
        <f t="shared" si="13"/>
        <v>100.05911111111112</v>
      </c>
      <c r="F29" s="60">
        <f t="shared" si="14"/>
        <v>0.5</v>
      </c>
      <c r="G29" s="66">
        <v>6</v>
      </c>
      <c r="H29" s="56">
        <f t="shared" si="2"/>
        <v>0.87796912876616529</v>
      </c>
      <c r="I29" s="55">
        <f t="shared" si="15"/>
        <v>99.659111111111116</v>
      </c>
      <c r="J29" s="75">
        <f t="shared" si="16"/>
        <v>0.6</v>
      </c>
      <c r="K29" s="64">
        <f t="shared" si="17"/>
        <v>100.38136988070895</v>
      </c>
      <c r="L29" s="64">
        <f t="shared" si="18"/>
        <v>100.28208000776195</v>
      </c>
      <c r="M29" s="56">
        <f t="shared" si="19"/>
        <v>0.72225876959782909</v>
      </c>
      <c r="N29" s="56">
        <f t="shared" si="20"/>
        <v>0.62296889665083199</v>
      </c>
      <c r="O29" s="69">
        <f t="shared" si="21"/>
        <v>0.72296889665083197</v>
      </c>
      <c r="P29" s="45">
        <f t="shared" si="22"/>
        <v>0.44090545323298064</v>
      </c>
      <c r="Q29" s="45">
        <f t="shared" si="23"/>
        <v>0.42694919495907552</v>
      </c>
      <c r="R29" s="45" t="str">
        <f t="shared" si="27"/>
        <v>okay</v>
      </c>
      <c r="S29" s="52">
        <v>9.9289872947002575E-2</v>
      </c>
      <c r="T29" s="56">
        <f t="shared" si="24"/>
        <v>0.8034337546333874</v>
      </c>
      <c r="U29" s="56">
        <f t="shared" si="9"/>
        <v>0.75721486354723055</v>
      </c>
      <c r="V29" s="56">
        <f t="shared" si="3"/>
        <v>1.4228720863999518</v>
      </c>
      <c r="W29" s="71">
        <f t="shared" ref="W29:W92" si="28">IF(M29&gt;0,M29^(3/2)*SQRT(2*9.81)*$F$17*T29*J29*2/3*$F$21,0)+(M29+$F$16)^(3/2)*SQRT(2*9.81)*($F$15-$F$17)*U29*0.55*2/3*$F$21+V29</f>
        <v>2.1603639522713731</v>
      </c>
      <c r="X29" s="56">
        <f t="shared" si="4"/>
        <v>1.3957318178003217</v>
      </c>
      <c r="Y29" s="66">
        <v>1.5</v>
      </c>
      <c r="Z29" s="66">
        <v>2</v>
      </c>
      <c r="AA29" s="66">
        <v>2</v>
      </c>
      <c r="AB29" s="56">
        <f t="shared" si="10"/>
        <v>3.5319999999999823</v>
      </c>
      <c r="AC29" s="73">
        <f t="shared" si="5"/>
        <v>171.42616713972302</v>
      </c>
      <c r="AD29" s="56">
        <f t="shared" si="25"/>
        <v>0.78208000776193387</v>
      </c>
      <c r="AE29" s="48">
        <f t="shared" si="6"/>
        <v>2.4016429800827388</v>
      </c>
      <c r="AF29" s="72">
        <f t="shared" si="26"/>
        <v>5.1111111111111107</v>
      </c>
      <c r="AG29" s="72">
        <f t="shared" si="7"/>
        <v>0.89953584699627032</v>
      </c>
      <c r="AH29" s="72" t="str">
        <f t="shared" si="11"/>
        <v>Achtung!</v>
      </c>
      <c r="AI29" s="121"/>
    </row>
    <row r="30" spans="1:35" x14ac:dyDescent="0.35">
      <c r="A30" s="63">
        <f t="shared" si="12"/>
        <v>5</v>
      </c>
      <c r="B30" s="55">
        <f t="shared" si="0"/>
        <v>22.044444444444441</v>
      </c>
      <c r="C30" s="55">
        <f t="shared" si="8"/>
        <v>99.448888888888902</v>
      </c>
      <c r="D30" s="55">
        <f t="shared" si="1"/>
        <v>99.440888888888907</v>
      </c>
      <c r="E30" s="74">
        <f t="shared" si="13"/>
        <v>99.948888888888902</v>
      </c>
      <c r="F30" s="60">
        <f t="shared" si="14"/>
        <v>0.5</v>
      </c>
      <c r="G30" s="66">
        <v>6</v>
      </c>
      <c r="H30" s="56">
        <f t="shared" si="2"/>
        <v>0.84648661079637522</v>
      </c>
      <c r="I30" s="55">
        <f t="shared" si="15"/>
        <v>99.548888888888897</v>
      </c>
      <c r="J30" s="75">
        <f t="shared" si="16"/>
        <v>0.6</v>
      </c>
      <c r="K30" s="64">
        <f t="shared" si="17"/>
        <v>100.28208000776195</v>
      </c>
      <c r="L30" s="64">
        <f t="shared" si="18"/>
        <v>100.19200655759977</v>
      </c>
      <c r="M30" s="56">
        <f t="shared" si="19"/>
        <v>0.73319111887305155</v>
      </c>
      <c r="N30" s="56">
        <f t="shared" si="20"/>
        <v>0.64311766871087173</v>
      </c>
      <c r="O30" s="69">
        <f t="shared" si="21"/>
        <v>0.7431176687108717</v>
      </c>
      <c r="P30" s="45">
        <f t="shared" si="22"/>
        <v>0.43037266128295931</v>
      </c>
      <c r="Q30" s="45">
        <f t="shared" si="23"/>
        <v>0.41893354496876289</v>
      </c>
      <c r="R30" s="45" t="str">
        <f t="shared" si="27"/>
        <v>okay</v>
      </c>
      <c r="S30" s="52">
        <v>9.0073450162179533E-2</v>
      </c>
      <c r="T30" s="56">
        <f t="shared" si="24"/>
        <v>0.7635138549779994</v>
      </c>
      <c r="U30" s="56">
        <f t="shared" si="9"/>
        <v>0.7159187902798525</v>
      </c>
      <c r="V30" s="56">
        <f t="shared" si="3"/>
        <v>1.4422472369044492</v>
      </c>
      <c r="W30" s="71">
        <f t="shared" si="28"/>
        <v>2.1563886463495185</v>
      </c>
      <c r="X30" s="56">
        <f t="shared" si="4"/>
        <v>1.3293762041581618</v>
      </c>
      <c r="Y30" s="66">
        <v>1.5</v>
      </c>
      <c r="Z30" s="66">
        <v>2</v>
      </c>
      <c r="AA30" s="66">
        <v>2</v>
      </c>
      <c r="AB30" s="56">
        <f t="shared" si="10"/>
        <v>3.5319999999999823</v>
      </c>
      <c r="AC30" s="73">
        <f t="shared" si="5"/>
        <v>149.37689218521712</v>
      </c>
      <c r="AD30" s="56">
        <f t="shared" si="25"/>
        <v>0.8022287798219736</v>
      </c>
      <c r="AE30" s="48">
        <f t="shared" si="6"/>
        <v>2.4957098914402902</v>
      </c>
      <c r="AF30" s="72">
        <f t="shared" si="26"/>
        <v>5.1111111111111107</v>
      </c>
      <c r="AG30" s="72">
        <f t="shared" si="7"/>
        <v>0.86403818558616718</v>
      </c>
      <c r="AH30" s="72" t="str">
        <f t="shared" si="11"/>
        <v>Achtung!</v>
      </c>
      <c r="AI30" s="121"/>
    </row>
    <row r="31" spans="1:35" x14ac:dyDescent="0.35">
      <c r="A31" s="63">
        <f t="shared" si="12"/>
        <v>4</v>
      </c>
      <c r="B31" s="55">
        <f t="shared" si="0"/>
        <v>16.533333333333331</v>
      </c>
      <c r="C31" s="55">
        <f t="shared" si="8"/>
        <v>99.338666666666683</v>
      </c>
      <c r="D31" s="55">
        <f t="shared" si="1"/>
        <v>99.330666666666687</v>
      </c>
      <c r="E31" s="74">
        <f t="shared" si="13"/>
        <v>99.838666666666683</v>
      </c>
      <c r="F31" s="60">
        <f t="shared" si="14"/>
        <v>0.5</v>
      </c>
      <c r="G31" s="66">
        <v>5.5</v>
      </c>
      <c r="H31" s="56">
        <f t="shared" si="2"/>
        <v>0.83265785238927426</v>
      </c>
      <c r="I31" s="55">
        <f t="shared" si="15"/>
        <v>99.438666666666677</v>
      </c>
      <c r="J31" s="75">
        <f t="shared" si="16"/>
        <v>0.6</v>
      </c>
      <c r="K31" s="64">
        <f t="shared" si="17"/>
        <v>100.19200655759977</v>
      </c>
      <c r="L31" s="64">
        <f t="shared" si="18"/>
        <v>100.10161132535484</v>
      </c>
      <c r="M31" s="56">
        <f t="shared" si="19"/>
        <v>0.75333989093309128</v>
      </c>
      <c r="N31" s="56">
        <f t="shared" si="20"/>
        <v>0.66294465868816133</v>
      </c>
      <c r="O31" s="69">
        <f t="shared" si="21"/>
        <v>0.7629446586881613</v>
      </c>
      <c r="P31" s="45">
        <f t="shared" si="22"/>
        <v>0.43760748692430984</v>
      </c>
      <c r="Q31" s="45">
        <f t="shared" si="23"/>
        <v>0.42720131940231165</v>
      </c>
      <c r="R31" s="45" t="str">
        <f t="shared" si="27"/>
        <v>okay</v>
      </c>
      <c r="S31" s="52">
        <v>9.0395232244924392E-2</v>
      </c>
      <c r="T31" s="56">
        <f t="shared" si="24"/>
        <v>0.7548965517131776</v>
      </c>
      <c r="U31" s="56">
        <f t="shared" si="9"/>
        <v>0.70820296271737293</v>
      </c>
      <c r="V31" s="56">
        <f t="shared" si="3"/>
        <v>1.4201902419008257</v>
      </c>
      <c r="W31" s="71">
        <f t="shared" si="28"/>
        <v>2.1540691182454226</v>
      </c>
      <c r="X31" s="56">
        <f t="shared" si="4"/>
        <v>1.331748646196202</v>
      </c>
      <c r="Y31" s="66">
        <v>1.5</v>
      </c>
      <c r="Z31" s="66">
        <v>2</v>
      </c>
      <c r="AA31" s="66">
        <v>2</v>
      </c>
      <c r="AB31" s="56">
        <f t="shared" si="10"/>
        <v>3.5319999999999823</v>
      </c>
      <c r="AC31" s="73">
        <f t="shared" si="5"/>
        <v>144.30540661147862</v>
      </c>
      <c r="AD31" s="56">
        <f t="shared" si="25"/>
        <v>0.8220557697992632</v>
      </c>
      <c r="AE31" s="48">
        <f t="shared" si="6"/>
        <v>2.5898597233774381</v>
      </c>
      <c r="AF31" s="72">
        <f t="shared" si="26"/>
        <v>5.1111111111111107</v>
      </c>
      <c r="AG31" s="72">
        <f t="shared" si="7"/>
        <v>0.8317319655584664</v>
      </c>
      <c r="AH31" s="72" t="str">
        <f t="shared" si="11"/>
        <v>Achtung!</v>
      </c>
      <c r="AI31" s="121"/>
    </row>
    <row r="32" spans="1:35" x14ac:dyDescent="0.35">
      <c r="A32" s="63">
        <f t="shared" si="12"/>
        <v>3</v>
      </c>
      <c r="B32" s="55">
        <f t="shared" si="0"/>
        <v>11.022222222222222</v>
      </c>
      <c r="C32" s="55">
        <f t="shared" si="8"/>
        <v>99.228444444444463</v>
      </c>
      <c r="D32" s="55">
        <f t="shared" si="1"/>
        <v>99.220444444444468</v>
      </c>
      <c r="E32" s="74">
        <f t="shared" si="13"/>
        <v>99.728444444444463</v>
      </c>
      <c r="F32" s="60">
        <f t="shared" si="14"/>
        <v>0.5</v>
      </c>
      <c r="G32" s="66">
        <v>5.5</v>
      </c>
      <c r="H32" s="56">
        <f t="shared" si="2"/>
        <v>0.7838481844991152</v>
      </c>
      <c r="I32" s="55">
        <f t="shared" si="15"/>
        <v>99.328444444444457</v>
      </c>
      <c r="J32" s="75">
        <f t="shared" si="16"/>
        <v>0.6</v>
      </c>
      <c r="K32" s="64">
        <f t="shared" si="17"/>
        <v>100.10161132535484</v>
      </c>
      <c r="L32" s="64">
        <f t="shared" si="18"/>
        <v>100.02250196236061</v>
      </c>
      <c r="M32" s="56">
        <f t="shared" si="19"/>
        <v>0.77316688091038088</v>
      </c>
      <c r="N32" s="56">
        <f t="shared" si="20"/>
        <v>0.69405751791614989</v>
      </c>
      <c r="O32" s="69">
        <f t="shared" si="21"/>
        <v>0.79405751791614987</v>
      </c>
      <c r="P32" s="45">
        <f t="shared" si="22"/>
        <v>0.42210969220395145</v>
      </c>
      <c r="Q32" s="45">
        <f t="shared" si="23"/>
        <v>0.41492225250760878</v>
      </c>
      <c r="R32" s="45" t="str">
        <f t="shared" si="27"/>
        <v>okay</v>
      </c>
      <c r="S32" s="52">
        <v>7.9109362994233351E-2</v>
      </c>
      <c r="T32" s="56">
        <f t="shared" si="24"/>
        <v>0.69496868752516416</v>
      </c>
      <c r="U32" s="56">
        <f t="shared" si="9"/>
        <v>0.64819518443885471</v>
      </c>
      <c r="V32" s="56">
        <f t="shared" si="3"/>
        <v>1.4510338100015729</v>
      </c>
      <c r="W32" s="71">
        <f t="shared" si="28"/>
        <v>2.1500633123560711</v>
      </c>
      <c r="X32" s="56">
        <f t="shared" si="4"/>
        <v>1.245843369748725</v>
      </c>
      <c r="Y32" s="66">
        <v>3</v>
      </c>
      <c r="Z32" s="125">
        <v>0.5</v>
      </c>
      <c r="AA32" s="125">
        <v>0.5</v>
      </c>
      <c r="AB32" s="56">
        <f t="shared" si="10"/>
        <v>3.5079999999999956</v>
      </c>
      <c r="AC32" s="73">
        <f t="shared" si="5"/>
        <v>111.62013030544529</v>
      </c>
      <c r="AD32" s="56">
        <f t="shared" si="25"/>
        <v>0.85316862902725177</v>
      </c>
      <c r="AE32" s="48">
        <f t="shared" si="6"/>
        <v>2.9247604146993815</v>
      </c>
      <c r="AF32" s="72">
        <f t="shared" si="26"/>
        <v>5.1111111111111107</v>
      </c>
      <c r="AG32" s="72">
        <f t="shared" si="7"/>
        <v>0.73512459398390184</v>
      </c>
      <c r="AH32" s="72" t="str">
        <f t="shared" si="11"/>
        <v>Achtung!</v>
      </c>
      <c r="AI32" s="121"/>
    </row>
    <row r="33" spans="1:35" x14ac:dyDescent="0.35">
      <c r="A33" s="63">
        <f t="shared" si="12"/>
        <v>2</v>
      </c>
      <c r="B33" s="55">
        <f t="shared" si="0"/>
        <v>5.5111111111111111</v>
      </c>
      <c r="C33" s="55">
        <f t="shared" si="8"/>
        <v>99.118222222222244</v>
      </c>
      <c r="D33" s="55">
        <f t="shared" si="1"/>
        <v>99.110222222222248</v>
      </c>
      <c r="E33" s="74">
        <f t="shared" si="13"/>
        <v>99.618222222222244</v>
      </c>
      <c r="F33" s="60">
        <f t="shared" si="14"/>
        <v>0.5</v>
      </c>
      <c r="G33" s="66">
        <v>4</v>
      </c>
      <c r="H33" s="56">
        <f t="shared" si="2"/>
        <v>0.85024018539491164</v>
      </c>
      <c r="I33" s="55">
        <f t="shared" si="15"/>
        <v>99.218222222222238</v>
      </c>
      <c r="J33" s="75">
        <f t="shared" si="16"/>
        <v>0.6</v>
      </c>
      <c r="K33" s="64">
        <f t="shared" si="17"/>
        <v>100.02250196236061</v>
      </c>
      <c r="L33" s="64">
        <f t="shared" si="18"/>
        <v>99.911539623508233</v>
      </c>
      <c r="M33" s="56">
        <f t="shared" si="19"/>
        <v>0.80427974013836945</v>
      </c>
      <c r="N33" s="56">
        <f t="shared" si="20"/>
        <v>0.69331740128599506</v>
      </c>
      <c r="O33" s="69">
        <f t="shared" si="21"/>
        <v>0.79331740128599504</v>
      </c>
      <c r="P33" s="45">
        <f t="shared" si="22"/>
        <v>0.48739040696239572</v>
      </c>
      <c r="Q33" s="45">
        <f t="shared" si="23"/>
        <v>0.47592085188890654</v>
      </c>
      <c r="R33" s="45" t="str">
        <f t="shared" si="27"/>
        <v>okay</v>
      </c>
      <c r="S33" s="52">
        <v>0.11096233885237308</v>
      </c>
      <c r="T33" s="56">
        <f t="shared" si="24"/>
        <v>0.80466741954593979</v>
      </c>
      <c r="U33" s="56">
        <f t="shared" si="9"/>
        <v>0.76308859022735998</v>
      </c>
      <c r="V33" s="56">
        <f t="shared" si="3"/>
        <v>1.2907817974419116</v>
      </c>
      <c r="W33" s="71">
        <f t="shared" si="28"/>
        <v>2.1535600583621939</v>
      </c>
      <c r="X33" s="56">
        <f t="shared" si="4"/>
        <v>1.4754935066897312</v>
      </c>
      <c r="Y33" s="66">
        <v>4</v>
      </c>
      <c r="Z33" s="125">
        <v>0.5</v>
      </c>
      <c r="AA33" s="125">
        <v>0.5</v>
      </c>
      <c r="AB33" s="56">
        <f t="shared" si="10"/>
        <v>4.5079999999999956</v>
      </c>
      <c r="AC33" s="73">
        <f t="shared" si="5"/>
        <v>121.51938245950682</v>
      </c>
      <c r="AD33" s="56">
        <f t="shared" si="25"/>
        <v>0.85242851239709694</v>
      </c>
      <c r="AE33" s="48">
        <f t="shared" si="6"/>
        <v>3.7743374068016577</v>
      </c>
      <c r="AF33" s="72">
        <f t="shared" si="26"/>
        <v>5.1111111111111107</v>
      </c>
      <c r="AG33" s="72">
        <f t="shared" si="7"/>
        <v>0.57057963458203453</v>
      </c>
      <c r="AH33" s="72" t="str">
        <f t="shared" si="11"/>
        <v>Achtung!</v>
      </c>
      <c r="AI33" s="121"/>
    </row>
    <row r="34" spans="1:35" x14ac:dyDescent="0.35">
      <c r="A34" s="63">
        <f t="shared" si="12"/>
        <v>1</v>
      </c>
      <c r="B34" s="55">
        <f t="shared" si="0"/>
        <v>0</v>
      </c>
      <c r="C34" s="55">
        <f t="shared" si="8"/>
        <v>99.008000000000024</v>
      </c>
      <c r="D34" s="55">
        <f t="shared" si="1"/>
        <v>99.000000000000028</v>
      </c>
      <c r="E34" s="74">
        <f t="shared" si="13"/>
        <v>99.508000000000024</v>
      </c>
      <c r="F34" s="60">
        <f t="shared" si="14"/>
        <v>0.5</v>
      </c>
      <c r="G34" s="66">
        <v>4</v>
      </c>
      <c r="H34" s="56">
        <f t="shared" si="2"/>
        <v>0.85196889547077248</v>
      </c>
      <c r="I34" s="55">
        <f t="shared" si="15"/>
        <v>99.108000000000018</v>
      </c>
      <c r="J34" s="75">
        <f t="shared" si="16"/>
        <v>0.6</v>
      </c>
      <c r="K34" s="64">
        <f t="shared" si="17"/>
        <v>99.911539623508233</v>
      </c>
      <c r="L34" s="64">
        <f t="shared" si="18"/>
        <v>99.8</v>
      </c>
      <c r="M34" s="56">
        <f t="shared" si="19"/>
        <v>0.80353962350821462</v>
      </c>
      <c r="N34" s="56">
        <f t="shared" si="20"/>
        <v>0.69199999999997885</v>
      </c>
      <c r="O34" s="69">
        <f t="shared" si="21"/>
        <v>0.79199999999997883</v>
      </c>
      <c r="P34" s="45">
        <f t="shared" si="22"/>
        <v>0.48792163908143543</v>
      </c>
      <c r="Q34" s="45">
        <f t="shared" si="23"/>
        <v>0.47630868414085609</v>
      </c>
      <c r="R34" s="45" t="str">
        <f t="shared" si="27"/>
        <v>okay</v>
      </c>
      <c r="S34" s="52">
        <v>0.11153962350823468</v>
      </c>
      <c r="T34" s="56">
        <f t="shared" si="24"/>
        <v>0.80676456475948088</v>
      </c>
      <c r="U34" s="56">
        <f t="shared" si="9"/>
        <v>0.76527585398903852</v>
      </c>
      <c r="V34" s="56">
        <f t="shared" si="3"/>
        <v>1.2898560773254821</v>
      </c>
      <c r="W34" s="71">
        <f t="shared" si="28"/>
        <v>2.153858541220421</v>
      </c>
      <c r="X34" s="56">
        <f t="shared" si="4"/>
        <v>1.4793266756303574</v>
      </c>
      <c r="Y34" s="66">
        <v>1.5</v>
      </c>
      <c r="Z34" s="125">
        <v>0.5</v>
      </c>
      <c r="AA34" s="125">
        <v>0.5</v>
      </c>
      <c r="AB34" s="56">
        <f t="shared" si="10"/>
        <v>2.0079999999999956</v>
      </c>
      <c r="AC34" s="73" t="str">
        <f t="shared" si="5"/>
        <v xml:space="preserve"> </v>
      </c>
      <c r="AD34" s="56" t="str">
        <f t="shared" si="25"/>
        <v xml:space="preserve"> </v>
      </c>
      <c r="AE34" s="48" t="str">
        <f t="shared" si="6"/>
        <v xml:space="preserve"> </v>
      </c>
      <c r="AF34" s="72" t="str">
        <f t="shared" si="26"/>
        <v xml:space="preserve"> </v>
      </c>
      <c r="AG34" s="72" t="str">
        <f t="shared" si="7"/>
        <v xml:space="preserve"> </v>
      </c>
      <c r="AH34" s="72" t="str">
        <f t="shared" si="11"/>
        <v xml:space="preserve"> </v>
      </c>
    </row>
    <row r="35" spans="1:35" x14ac:dyDescent="0.35">
      <c r="A35" s="63">
        <f t="shared" si="12"/>
        <v>0</v>
      </c>
      <c r="B35" s="55">
        <f t="shared" si="0"/>
        <v>502.3111111111092</v>
      </c>
      <c r="C35" s="55" t="e">
        <f t="shared" si="8"/>
        <v>#VALUE!</v>
      </c>
      <c r="D35" s="55" t="e">
        <f t="shared" si="1"/>
        <v>#VALUE!</v>
      </c>
      <c r="E35" s="74" t="e">
        <f t="shared" si="13"/>
        <v>#VALUE!</v>
      </c>
      <c r="F35" s="60">
        <f t="shared" si="14"/>
        <v>0.5</v>
      </c>
      <c r="G35" s="66">
        <v>3</v>
      </c>
      <c r="H35" s="56" t="e">
        <f t="shared" si="2"/>
        <v>#VALUE!</v>
      </c>
      <c r="I35" s="55" t="e">
        <f t="shared" si="15"/>
        <v>#VALUE!</v>
      </c>
      <c r="J35" s="75">
        <f t="shared" si="16"/>
        <v>0.6</v>
      </c>
      <c r="K35" s="64">
        <f t="shared" si="17"/>
        <v>4522.5879999999952</v>
      </c>
      <c r="L35" s="64">
        <f t="shared" si="18"/>
        <v>4522.4599999999955</v>
      </c>
      <c r="M35" s="56" t="e">
        <f t="shared" si="19"/>
        <v>#VALUE!</v>
      </c>
      <c r="N35" s="56" t="e">
        <f t="shared" si="20"/>
        <v>#VALUE!</v>
      </c>
      <c r="O35" s="69" t="e">
        <f t="shared" si="21"/>
        <v>#VALUE!</v>
      </c>
      <c r="P35" s="45" t="e">
        <f t="shared" si="22"/>
        <v>#VALUE!</v>
      </c>
      <c r="Q35" s="45" t="e">
        <f t="shared" si="23"/>
        <v>#VALUE!</v>
      </c>
      <c r="R35" s="45" t="e">
        <f t="shared" si="27"/>
        <v>#VALUE!</v>
      </c>
      <c r="S35" s="52">
        <v>0.128</v>
      </c>
      <c r="T35" s="56" t="e">
        <f t="shared" si="24"/>
        <v>#VALUE!</v>
      </c>
      <c r="U35" s="56" t="e">
        <f t="shared" si="9"/>
        <v>#VALUE!</v>
      </c>
      <c r="V35" s="56" t="e">
        <f t="shared" si="3"/>
        <v>#VALUE!</v>
      </c>
      <c r="W35" s="71" t="e">
        <f t="shared" si="28"/>
        <v>#VALUE!</v>
      </c>
      <c r="X35" s="56">
        <f t="shared" si="4"/>
        <v>1.5847271058450412</v>
      </c>
      <c r="Y35" s="66">
        <v>1.5</v>
      </c>
      <c r="Z35" s="66">
        <v>0.5</v>
      </c>
      <c r="AA35" s="66">
        <v>0.5</v>
      </c>
      <c r="AB35" s="56" t="e">
        <f t="shared" si="10"/>
        <v>#VALUE!</v>
      </c>
      <c r="AC35" s="73" t="e">
        <f t="shared" si="5"/>
        <v>#VALUE!</v>
      </c>
      <c r="AD35" s="56" t="e">
        <f t="shared" si="25"/>
        <v>#VALUE!</v>
      </c>
      <c r="AE35" s="48" t="e">
        <f t="shared" si="6"/>
        <v>#VALUE!</v>
      </c>
      <c r="AF35" s="72">
        <f t="shared" si="26"/>
        <v>5.1111111111111107</v>
      </c>
      <c r="AG35" s="72" t="e">
        <f t="shared" si="7"/>
        <v>#VALUE!</v>
      </c>
      <c r="AH35" s="72" t="e">
        <f t="shared" si="11"/>
        <v>#VALUE!</v>
      </c>
    </row>
    <row r="36" spans="1:35" x14ac:dyDescent="0.35">
      <c r="A36" s="63">
        <f t="shared" si="12"/>
        <v>-1</v>
      </c>
      <c r="B36" s="55">
        <f t="shared" si="0"/>
        <v>496.79999999999814</v>
      </c>
      <c r="C36" s="55" t="e">
        <f t="shared" si="8"/>
        <v>#VALUE!</v>
      </c>
      <c r="D36" s="55" t="e">
        <f t="shared" si="1"/>
        <v>#VALUE!</v>
      </c>
      <c r="E36" s="74" t="e">
        <f t="shared" si="13"/>
        <v>#VALUE!</v>
      </c>
      <c r="F36" s="60">
        <f t="shared" si="14"/>
        <v>0.5</v>
      </c>
      <c r="G36" s="66">
        <v>3</v>
      </c>
      <c r="H36" s="56" t="e">
        <f t="shared" si="2"/>
        <v>#VALUE!</v>
      </c>
      <c r="I36" s="55" t="e">
        <f t="shared" si="15"/>
        <v>#VALUE!</v>
      </c>
      <c r="J36" s="75">
        <f t="shared" si="16"/>
        <v>0.6</v>
      </c>
      <c r="K36" s="64">
        <f t="shared" si="17"/>
        <v>4522.4599999999955</v>
      </c>
      <c r="L36" s="64">
        <f t="shared" si="18"/>
        <v>4522.3319999999958</v>
      </c>
      <c r="M36" s="56" t="e">
        <f t="shared" si="19"/>
        <v>#VALUE!</v>
      </c>
      <c r="N36" s="56" t="e">
        <f t="shared" si="20"/>
        <v>#VALUE!</v>
      </c>
      <c r="O36" s="69" t="e">
        <f t="shared" si="21"/>
        <v>#VALUE!</v>
      </c>
      <c r="P36" s="45" t="e">
        <f t="shared" si="22"/>
        <v>#VALUE!</v>
      </c>
      <c r="Q36" s="45" t="e">
        <f t="shared" si="23"/>
        <v>#VALUE!</v>
      </c>
      <c r="R36" s="45" t="e">
        <f t="shared" si="27"/>
        <v>#VALUE!</v>
      </c>
      <c r="S36" s="52">
        <v>0.128</v>
      </c>
      <c r="T36" s="56" t="e">
        <f t="shared" si="24"/>
        <v>#VALUE!</v>
      </c>
      <c r="U36" s="56" t="e">
        <f t="shared" si="9"/>
        <v>#VALUE!</v>
      </c>
      <c r="V36" s="56" t="e">
        <f t="shared" si="3"/>
        <v>#VALUE!</v>
      </c>
      <c r="W36" s="71" t="e">
        <f t="shared" si="28"/>
        <v>#VALUE!</v>
      </c>
      <c r="X36" s="56">
        <f t="shared" si="4"/>
        <v>1.5847271058450412</v>
      </c>
      <c r="Y36" s="66">
        <v>1.5</v>
      </c>
      <c r="Z36" s="66">
        <v>0.5</v>
      </c>
      <c r="AA36" s="66">
        <v>0.5</v>
      </c>
      <c r="AB36" s="56" t="e">
        <f t="shared" si="10"/>
        <v>#VALUE!</v>
      </c>
      <c r="AC36" s="73" t="e">
        <f t="shared" si="5"/>
        <v>#VALUE!</v>
      </c>
      <c r="AD36" s="56" t="e">
        <f t="shared" si="25"/>
        <v>#VALUE!</v>
      </c>
      <c r="AE36" s="48" t="e">
        <f t="shared" si="6"/>
        <v>#VALUE!</v>
      </c>
      <c r="AF36" s="72">
        <f t="shared" si="26"/>
        <v>5.1111111111111107</v>
      </c>
      <c r="AG36" s="72" t="e">
        <f t="shared" si="7"/>
        <v>#VALUE!</v>
      </c>
      <c r="AH36" s="72" t="e">
        <f t="shared" si="11"/>
        <v>#VALUE!</v>
      </c>
    </row>
    <row r="37" spans="1:35" x14ac:dyDescent="0.35">
      <c r="A37" s="63">
        <f t="shared" si="12"/>
        <v>-2</v>
      </c>
      <c r="B37" s="55">
        <f t="shared" si="0"/>
        <v>491.28888888888707</v>
      </c>
      <c r="C37" s="55" t="e">
        <f t="shared" si="8"/>
        <v>#VALUE!</v>
      </c>
      <c r="D37" s="55" t="e">
        <f t="shared" si="1"/>
        <v>#VALUE!</v>
      </c>
      <c r="E37" s="74" t="e">
        <f t="shared" si="13"/>
        <v>#VALUE!</v>
      </c>
      <c r="F37" s="60">
        <f t="shared" si="14"/>
        <v>0.5</v>
      </c>
      <c r="G37" s="66">
        <v>3</v>
      </c>
      <c r="H37" s="56" t="e">
        <f t="shared" si="2"/>
        <v>#VALUE!</v>
      </c>
      <c r="I37" s="55" t="e">
        <f t="shared" si="15"/>
        <v>#VALUE!</v>
      </c>
      <c r="J37" s="75">
        <f t="shared" si="16"/>
        <v>0.6</v>
      </c>
      <c r="K37" s="64">
        <f t="shared" si="17"/>
        <v>4522.3319999999958</v>
      </c>
      <c r="L37" s="64">
        <f t="shared" si="18"/>
        <v>4522.2039999999961</v>
      </c>
      <c r="M37" s="56" t="e">
        <f t="shared" si="19"/>
        <v>#VALUE!</v>
      </c>
      <c r="N37" s="56" t="e">
        <f t="shared" si="20"/>
        <v>#VALUE!</v>
      </c>
      <c r="O37" s="69" t="e">
        <f t="shared" si="21"/>
        <v>#VALUE!</v>
      </c>
      <c r="P37" s="45" t="e">
        <f t="shared" si="22"/>
        <v>#VALUE!</v>
      </c>
      <c r="Q37" s="45" t="e">
        <f t="shared" si="23"/>
        <v>#VALUE!</v>
      </c>
      <c r="R37" s="45" t="e">
        <f t="shared" si="27"/>
        <v>#VALUE!</v>
      </c>
      <c r="S37" s="52">
        <v>0.128</v>
      </c>
      <c r="T37" s="56" t="e">
        <f t="shared" si="24"/>
        <v>#VALUE!</v>
      </c>
      <c r="U37" s="56" t="e">
        <f t="shared" si="9"/>
        <v>#VALUE!</v>
      </c>
      <c r="V37" s="56" t="e">
        <f t="shared" si="3"/>
        <v>#VALUE!</v>
      </c>
      <c r="W37" s="71" t="e">
        <f t="shared" si="28"/>
        <v>#VALUE!</v>
      </c>
      <c r="X37" s="56">
        <f t="shared" si="4"/>
        <v>1.5847271058450412</v>
      </c>
      <c r="Y37" s="66">
        <v>1.5</v>
      </c>
      <c r="Z37" s="66">
        <v>0.5</v>
      </c>
      <c r="AA37" s="66">
        <v>0.5</v>
      </c>
      <c r="AB37" s="56" t="e">
        <f t="shared" si="10"/>
        <v>#VALUE!</v>
      </c>
      <c r="AC37" s="73" t="e">
        <f t="shared" si="5"/>
        <v>#VALUE!</v>
      </c>
      <c r="AD37" s="56" t="e">
        <f t="shared" si="25"/>
        <v>#VALUE!</v>
      </c>
      <c r="AE37" s="48" t="e">
        <f t="shared" si="6"/>
        <v>#VALUE!</v>
      </c>
      <c r="AF37" s="72">
        <f t="shared" si="26"/>
        <v>5.1111111111111107</v>
      </c>
      <c r="AG37" s="72" t="e">
        <f t="shared" si="7"/>
        <v>#VALUE!</v>
      </c>
      <c r="AH37" s="72" t="e">
        <f t="shared" si="11"/>
        <v>#VALUE!</v>
      </c>
    </row>
    <row r="38" spans="1:35" x14ac:dyDescent="0.35">
      <c r="A38" s="63">
        <f t="shared" si="12"/>
        <v>-3</v>
      </c>
      <c r="B38" s="55">
        <f t="shared" si="0"/>
        <v>485.77777777777601</v>
      </c>
      <c r="C38" s="55" t="e">
        <f t="shared" si="8"/>
        <v>#VALUE!</v>
      </c>
      <c r="D38" s="55" t="e">
        <f t="shared" si="1"/>
        <v>#VALUE!</v>
      </c>
      <c r="E38" s="74" t="e">
        <f t="shared" si="13"/>
        <v>#VALUE!</v>
      </c>
      <c r="F38" s="60">
        <f t="shared" si="14"/>
        <v>0.5</v>
      </c>
      <c r="G38" s="66">
        <v>3</v>
      </c>
      <c r="H38" s="56" t="e">
        <f t="shared" si="2"/>
        <v>#VALUE!</v>
      </c>
      <c r="I38" s="55" t="e">
        <f t="shared" si="15"/>
        <v>#VALUE!</v>
      </c>
      <c r="J38" s="75">
        <f t="shared" si="16"/>
        <v>0.6</v>
      </c>
      <c r="K38" s="64">
        <f t="shared" si="17"/>
        <v>4522.2039999999961</v>
      </c>
      <c r="L38" s="64">
        <f t="shared" si="18"/>
        <v>4522.0759999999964</v>
      </c>
      <c r="M38" s="56" t="e">
        <f t="shared" si="19"/>
        <v>#VALUE!</v>
      </c>
      <c r="N38" s="56" t="e">
        <f t="shared" si="20"/>
        <v>#VALUE!</v>
      </c>
      <c r="O38" s="69" t="e">
        <f t="shared" si="21"/>
        <v>#VALUE!</v>
      </c>
      <c r="P38" s="45" t="e">
        <f t="shared" si="22"/>
        <v>#VALUE!</v>
      </c>
      <c r="Q38" s="45" t="e">
        <f t="shared" si="23"/>
        <v>#VALUE!</v>
      </c>
      <c r="R38" s="45" t="e">
        <f t="shared" si="27"/>
        <v>#VALUE!</v>
      </c>
      <c r="S38" s="52">
        <v>0.128</v>
      </c>
      <c r="T38" s="56" t="e">
        <f t="shared" si="24"/>
        <v>#VALUE!</v>
      </c>
      <c r="U38" s="56" t="e">
        <f t="shared" si="9"/>
        <v>#VALUE!</v>
      </c>
      <c r="V38" s="56" t="e">
        <f t="shared" si="3"/>
        <v>#VALUE!</v>
      </c>
      <c r="W38" s="71" t="e">
        <f t="shared" si="28"/>
        <v>#VALUE!</v>
      </c>
      <c r="X38" s="56">
        <f t="shared" si="4"/>
        <v>1.5847271058450412</v>
      </c>
      <c r="Y38" s="66">
        <v>1.5</v>
      </c>
      <c r="Z38" s="66">
        <v>0.5</v>
      </c>
      <c r="AA38" s="66">
        <v>0.5</v>
      </c>
      <c r="AB38" s="56" t="e">
        <f t="shared" si="10"/>
        <v>#VALUE!</v>
      </c>
      <c r="AC38" s="73" t="e">
        <f t="shared" si="5"/>
        <v>#VALUE!</v>
      </c>
      <c r="AD38" s="56" t="e">
        <f t="shared" si="25"/>
        <v>#VALUE!</v>
      </c>
      <c r="AE38" s="48" t="e">
        <f t="shared" si="6"/>
        <v>#VALUE!</v>
      </c>
      <c r="AF38" s="72">
        <f t="shared" si="26"/>
        <v>5.1111111111111107</v>
      </c>
      <c r="AG38" s="72" t="e">
        <f t="shared" si="7"/>
        <v>#VALUE!</v>
      </c>
      <c r="AH38" s="72" t="e">
        <f t="shared" si="11"/>
        <v>#VALUE!</v>
      </c>
    </row>
    <row r="39" spans="1:35" x14ac:dyDescent="0.35">
      <c r="A39" s="63">
        <f t="shared" si="12"/>
        <v>-4</v>
      </c>
      <c r="B39" s="55">
        <f t="shared" si="0"/>
        <v>480.26666666666495</v>
      </c>
      <c r="C39" s="55" t="e">
        <f t="shared" si="8"/>
        <v>#VALUE!</v>
      </c>
      <c r="D39" s="55" t="e">
        <f t="shared" si="1"/>
        <v>#VALUE!</v>
      </c>
      <c r="E39" s="74" t="e">
        <f t="shared" si="13"/>
        <v>#VALUE!</v>
      </c>
      <c r="F39" s="60">
        <f t="shared" si="14"/>
        <v>0.5</v>
      </c>
      <c r="G39" s="66">
        <v>3</v>
      </c>
      <c r="H39" s="56" t="e">
        <f t="shared" si="2"/>
        <v>#VALUE!</v>
      </c>
      <c r="I39" s="55" t="e">
        <f t="shared" si="15"/>
        <v>#VALUE!</v>
      </c>
      <c r="J39" s="75">
        <f t="shared" si="16"/>
        <v>0.6</v>
      </c>
      <c r="K39" s="64">
        <f t="shared" si="17"/>
        <v>4522.0759999999964</v>
      </c>
      <c r="L39" s="64">
        <f t="shared" si="18"/>
        <v>4521.9479999999967</v>
      </c>
      <c r="M39" s="56" t="e">
        <f t="shared" si="19"/>
        <v>#VALUE!</v>
      </c>
      <c r="N39" s="56" t="e">
        <f t="shared" si="20"/>
        <v>#VALUE!</v>
      </c>
      <c r="O39" s="69" t="e">
        <f t="shared" si="21"/>
        <v>#VALUE!</v>
      </c>
      <c r="P39" s="45" t="e">
        <f t="shared" si="22"/>
        <v>#VALUE!</v>
      </c>
      <c r="Q39" s="45" t="e">
        <f t="shared" si="23"/>
        <v>#VALUE!</v>
      </c>
      <c r="R39" s="45" t="e">
        <f t="shared" si="27"/>
        <v>#VALUE!</v>
      </c>
      <c r="S39" s="52">
        <v>0.128</v>
      </c>
      <c r="T39" s="56" t="e">
        <f t="shared" si="24"/>
        <v>#VALUE!</v>
      </c>
      <c r="U39" s="56" t="e">
        <f t="shared" si="9"/>
        <v>#VALUE!</v>
      </c>
      <c r="V39" s="56" t="e">
        <f t="shared" si="3"/>
        <v>#VALUE!</v>
      </c>
      <c r="W39" s="71" t="e">
        <f t="shared" si="28"/>
        <v>#VALUE!</v>
      </c>
      <c r="X39" s="56">
        <f t="shared" si="4"/>
        <v>1.5847271058450412</v>
      </c>
      <c r="Y39" s="66">
        <v>1.5</v>
      </c>
      <c r="Z39" s="66">
        <v>0.5</v>
      </c>
      <c r="AA39" s="66">
        <v>0.5</v>
      </c>
      <c r="AB39" s="56" t="e">
        <f t="shared" si="10"/>
        <v>#VALUE!</v>
      </c>
      <c r="AC39" s="73" t="e">
        <f t="shared" si="5"/>
        <v>#VALUE!</v>
      </c>
      <c r="AD39" s="56" t="e">
        <f t="shared" si="25"/>
        <v>#VALUE!</v>
      </c>
      <c r="AE39" s="48" t="e">
        <f t="shared" si="6"/>
        <v>#VALUE!</v>
      </c>
      <c r="AF39" s="72">
        <f t="shared" si="26"/>
        <v>5.1111111111111107</v>
      </c>
      <c r="AG39" s="72" t="e">
        <f t="shared" si="7"/>
        <v>#VALUE!</v>
      </c>
      <c r="AH39" s="72" t="e">
        <f t="shared" si="11"/>
        <v>#VALUE!</v>
      </c>
    </row>
    <row r="40" spans="1:35" x14ac:dyDescent="0.35">
      <c r="A40" s="63">
        <f t="shared" si="12"/>
        <v>-5</v>
      </c>
      <c r="B40" s="55">
        <f t="shared" si="0"/>
        <v>474.75555555555388</v>
      </c>
      <c r="C40" s="55" t="e">
        <f t="shared" si="8"/>
        <v>#VALUE!</v>
      </c>
      <c r="D40" s="55" t="e">
        <f t="shared" si="1"/>
        <v>#VALUE!</v>
      </c>
      <c r="E40" s="74" t="e">
        <f t="shared" si="13"/>
        <v>#VALUE!</v>
      </c>
      <c r="F40" s="60">
        <f t="shared" si="14"/>
        <v>0.5</v>
      </c>
      <c r="G40" s="66">
        <v>3</v>
      </c>
      <c r="H40" s="56" t="e">
        <f t="shared" si="2"/>
        <v>#VALUE!</v>
      </c>
      <c r="I40" s="55" t="e">
        <f t="shared" si="15"/>
        <v>#VALUE!</v>
      </c>
      <c r="J40" s="75">
        <f t="shared" si="16"/>
        <v>0.6</v>
      </c>
      <c r="K40" s="64">
        <f t="shared" si="17"/>
        <v>4521.9479999999967</v>
      </c>
      <c r="L40" s="64">
        <f t="shared" si="18"/>
        <v>4521.819999999997</v>
      </c>
      <c r="M40" s="56" t="e">
        <f t="shared" si="19"/>
        <v>#VALUE!</v>
      </c>
      <c r="N40" s="56" t="e">
        <f t="shared" si="20"/>
        <v>#VALUE!</v>
      </c>
      <c r="O40" s="69" t="e">
        <f t="shared" si="21"/>
        <v>#VALUE!</v>
      </c>
      <c r="P40" s="45" t="e">
        <f t="shared" si="22"/>
        <v>#VALUE!</v>
      </c>
      <c r="Q40" s="45" t="e">
        <f t="shared" si="23"/>
        <v>#VALUE!</v>
      </c>
      <c r="R40" s="45" t="e">
        <f t="shared" si="27"/>
        <v>#VALUE!</v>
      </c>
      <c r="S40" s="52">
        <v>0.128</v>
      </c>
      <c r="T40" s="56" t="e">
        <f t="shared" si="24"/>
        <v>#VALUE!</v>
      </c>
      <c r="U40" s="56" t="e">
        <f t="shared" si="9"/>
        <v>#VALUE!</v>
      </c>
      <c r="V40" s="56" t="e">
        <f t="shared" si="3"/>
        <v>#VALUE!</v>
      </c>
      <c r="W40" s="71" t="e">
        <f t="shared" si="28"/>
        <v>#VALUE!</v>
      </c>
      <c r="X40" s="56">
        <f t="shared" si="4"/>
        <v>1.5847271058450412</v>
      </c>
      <c r="Y40" s="66">
        <v>1.5</v>
      </c>
      <c r="Z40" s="66">
        <v>0.5</v>
      </c>
      <c r="AA40" s="66">
        <v>0.5</v>
      </c>
      <c r="AB40" s="56" t="e">
        <f t="shared" si="10"/>
        <v>#VALUE!</v>
      </c>
      <c r="AC40" s="73" t="e">
        <f t="shared" si="5"/>
        <v>#VALUE!</v>
      </c>
      <c r="AD40" s="56" t="e">
        <f t="shared" si="25"/>
        <v>#VALUE!</v>
      </c>
      <c r="AE40" s="48" t="e">
        <f t="shared" si="6"/>
        <v>#VALUE!</v>
      </c>
      <c r="AF40" s="72">
        <f t="shared" si="26"/>
        <v>5.1111111111111107</v>
      </c>
      <c r="AG40" s="72" t="e">
        <f t="shared" si="7"/>
        <v>#VALUE!</v>
      </c>
      <c r="AH40" s="72" t="e">
        <f t="shared" si="11"/>
        <v>#VALUE!</v>
      </c>
    </row>
    <row r="41" spans="1:35" x14ac:dyDescent="0.35">
      <c r="A41" s="63">
        <f t="shared" si="12"/>
        <v>-6</v>
      </c>
      <c r="B41" s="55">
        <f t="shared" si="0"/>
        <v>469.24444444444282</v>
      </c>
      <c r="C41" s="55" t="e">
        <f t="shared" si="8"/>
        <v>#VALUE!</v>
      </c>
      <c r="D41" s="55" t="e">
        <f t="shared" si="1"/>
        <v>#VALUE!</v>
      </c>
      <c r="E41" s="74" t="e">
        <f t="shared" si="13"/>
        <v>#VALUE!</v>
      </c>
      <c r="F41" s="60">
        <f t="shared" si="14"/>
        <v>0.5</v>
      </c>
      <c r="G41" s="66">
        <v>3</v>
      </c>
      <c r="H41" s="56" t="e">
        <f t="shared" si="2"/>
        <v>#VALUE!</v>
      </c>
      <c r="I41" s="55" t="e">
        <f t="shared" si="15"/>
        <v>#VALUE!</v>
      </c>
      <c r="J41" s="75">
        <f t="shared" si="16"/>
        <v>0.6</v>
      </c>
      <c r="K41" s="64">
        <f t="shared" si="17"/>
        <v>4521.819999999997</v>
      </c>
      <c r="L41" s="64">
        <f t="shared" si="18"/>
        <v>4521.6919999999973</v>
      </c>
      <c r="M41" s="56" t="e">
        <f t="shared" si="19"/>
        <v>#VALUE!</v>
      </c>
      <c r="N41" s="56" t="e">
        <f t="shared" si="20"/>
        <v>#VALUE!</v>
      </c>
      <c r="O41" s="69" t="e">
        <f t="shared" si="21"/>
        <v>#VALUE!</v>
      </c>
      <c r="P41" s="45" t="e">
        <f t="shared" si="22"/>
        <v>#VALUE!</v>
      </c>
      <c r="Q41" s="45" t="e">
        <f t="shared" si="23"/>
        <v>#VALUE!</v>
      </c>
      <c r="R41" s="45" t="e">
        <f t="shared" si="27"/>
        <v>#VALUE!</v>
      </c>
      <c r="S41" s="52">
        <v>0.128</v>
      </c>
      <c r="T41" s="56" t="e">
        <f t="shared" si="24"/>
        <v>#VALUE!</v>
      </c>
      <c r="U41" s="56" t="e">
        <f t="shared" si="9"/>
        <v>#VALUE!</v>
      </c>
      <c r="V41" s="56" t="e">
        <f t="shared" si="3"/>
        <v>#VALUE!</v>
      </c>
      <c r="W41" s="71" t="e">
        <f t="shared" si="28"/>
        <v>#VALUE!</v>
      </c>
      <c r="X41" s="56">
        <f t="shared" si="4"/>
        <v>1.5847271058450412</v>
      </c>
      <c r="Y41" s="66">
        <v>1.5</v>
      </c>
      <c r="Z41" s="66">
        <v>0.5</v>
      </c>
      <c r="AA41" s="66">
        <v>0.5</v>
      </c>
      <c r="AB41" s="56" t="e">
        <f t="shared" si="10"/>
        <v>#VALUE!</v>
      </c>
      <c r="AC41" s="73" t="e">
        <f t="shared" si="5"/>
        <v>#VALUE!</v>
      </c>
      <c r="AD41" s="56" t="e">
        <f t="shared" si="25"/>
        <v>#VALUE!</v>
      </c>
      <c r="AE41" s="48" t="e">
        <f t="shared" si="6"/>
        <v>#VALUE!</v>
      </c>
      <c r="AF41" s="72">
        <f t="shared" si="26"/>
        <v>5.1111111111111107</v>
      </c>
      <c r="AG41" s="72" t="e">
        <f t="shared" si="7"/>
        <v>#VALUE!</v>
      </c>
      <c r="AH41" s="72" t="e">
        <f t="shared" si="11"/>
        <v>#VALUE!</v>
      </c>
    </row>
    <row r="42" spans="1:35" x14ac:dyDescent="0.35">
      <c r="A42" s="63">
        <f t="shared" si="12"/>
        <v>-7</v>
      </c>
      <c r="B42" s="55">
        <f t="shared" si="0"/>
        <v>463.73333333333176</v>
      </c>
      <c r="C42" s="55" t="e">
        <f t="shared" si="8"/>
        <v>#VALUE!</v>
      </c>
      <c r="D42" s="55" t="e">
        <f t="shared" si="1"/>
        <v>#VALUE!</v>
      </c>
      <c r="E42" s="74" t="e">
        <f t="shared" si="13"/>
        <v>#VALUE!</v>
      </c>
      <c r="F42" s="60">
        <f t="shared" si="14"/>
        <v>0.5</v>
      </c>
      <c r="G42" s="66">
        <v>3</v>
      </c>
      <c r="H42" s="56" t="e">
        <f t="shared" si="2"/>
        <v>#VALUE!</v>
      </c>
      <c r="I42" s="55" t="e">
        <f t="shared" si="15"/>
        <v>#VALUE!</v>
      </c>
      <c r="J42" s="75">
        <f t="shared" si="16"/>
        <v>0.6</v>
      </c>
      <c r="K42" s="64">
        <f t="shared" si="17"/>
        <v>4521.6919999999973</v>
      </c>
      <c r="L42" s="64">
        <f t="shared" si="18"/>
        <v>4521.5639999999976</v>
      </c>
      <c r="M42" s="56" t="e">
        <f t="shared" si="19"/>
        <v>#VALUE!</v>
      </c>
      <c r="N42" s="56" t="e">
        <f t="shared" si="20"/>
        <v>#VALUE!</v>
      </c>
      <c r="O42" s="69" t="e">
        <f t="shared" si="21"/>
        <v>#VALUE!</v>
      </c>
      <c r="P42" s="45" t="e">
        <f t="shared" si="22"/>
        <v>#VALUE!</v>
      </c>
      <c r="Q42" s="45" t="e">
        <f t="shared" si="23"/>
        <v>#VALUE!</v>
      </c>
      <c r="R42" s="45" t="e">
        <f t="shared" si="27"/>
        <v>#VALUE!</v>
      </c>
      <c r="S42" s="52">
        <v>0.128</v>
      </c>
      <c r="T42" s="56" t="e">
        <f t="shared" si="24"/>
        <v>#VALUE!</v>
      </c>
      <c r="U42" s="56" t="e">
        <f t="shared" si="9"/>
        <v>#VALUE!</v>
      </c>
      <c r="V42" s="56" t="e">
        <f t="shared" si="3"/>
        <v>#VALUE!</v>
      </c>
      <c r="W42" s="71" t="e">
        <f t="shared" si="28"/>
        <v>#VALUE!</v>
      </c>
      <c r="X42" s="56">
        <f t="shared" si="4"/>
        <v>1.5847271058450412</v>
      </c>
      <c r="Y42" s="66">
        <v>1.5</v>
      </c>
      <c r="Z42" s="66">
        <v>0.5</v>
      </c>
      <c r="AA42" s="66">
        <v>0.5</v>
      </c>
      <c r="AB42" s="56" t="e">
        <f t="shared" si="10"/>
        <v>#VALUE!</v>
      </c>
      <c r="AC42" s="73" t="e">
        <f t="shared" si="5"/>
        <v>#VALUE!</v>
      </c>
      <c r="AD42" s="56" t="e">
        <f t="shared" si="25"/>
        <v>#VALUE!</v>
      </c>
      <c r="AE42" s="48" t="e">
        <f t="shared" si="6"/>
        <v>#VALUE!</v>
      </c>
      <c r="AF42" s="72">
        <f t="shared" si="26"/>
        <v>5.1111111111111107</v>
      </c>
      <c r="AG42" s="72" t="e">
        <f t="shared" si="7"/>
        <v>#VALUE!</v>
      </c>
      <c r="AH42" s="72" t="e">
        <f t="shared" si="11"/>
        <v>#VALUE!</v>
      </c>
    </row>
    <row r="43" spans="1:35" x14ac:dyDescent="0.35">
      <c r="A43" s="63">
        <f t="shared" si="12"/>
        <v>-8</v>
      </c>
      <c r="B43" s="55">
        <f t="shared" si="0"/>
        <v>458.22222222222069</v>
      </c>
      <c r="C43" s="55" t="e">
        <f t="shared" si="8"/>
        <v>#VALUE!</v>
      </c>
      <c r="D43" s="55" t="e">
        <f t="shared" si="1"/>
        <v>#VALUE!</v>
      </c>
      <c r="E43" s="74" t="e">
        <f t="shared" si="13"/>
        <v>#VALUE!</v>
      </c>
      <c r="F43" s="60">
        <f t="shared" si="14"/>
        <v>0.5</v>
      </c>
      <c r="G43" s="66">
        <v>3</v>
      </c>
      <c r="H43" s="56" t="e">
        <f t="shared" si="2"/>
        <v>#VALUE!</v>
      </c>
      <c r="I43" s="55" t="e">
        <f t="shared" si="15"/>
        <v>#VALUE!</v>
      </c>
      <c r="J43" s="75">
        <f t="shared" si="16"/>
        <v>0.6</v>
      </c>
      <c r="K43" s="64">
        <f t="shared" si="17"/>
        <v>4521.5639999999976</v>
      </c>
      <c r="L43" s="64">
        <f t="shared" si="18"/>
        <v>4521.4359999999979</v>
      </c>
      <c r="M43" s="56" t="e">
        <f t="shared" si="19"/>
        <v>#VALUE!</v>
      </c>
      <c r="N43" s="56" t="e">
        <f t="shared" si="20"/>
        <v>#VALUE!</v>
      </c>
      <c r="O43" s="69" t="e">
        <f t="shared" si="21"/>
        <v>#VALUE!</v>
      </c>
      <c r="P43" s="45" t="e">
        <f t="shared" si="22"/>
        <v>#VALUE!</v>
      </c>
      <c r="Q43" s="45" t="e">
        <f t="shared" si="23"/>
        <v>#VALUE!</v>
      </c>
      <c r="R43" s="45" t="e">
        <f t="shared" si="27"/>
        <v>#VALUE!</v>
      </c>
      <c r="S43" s="52">
        <v>0.128</v>
      </c>
      <c r="T43" s="56" t="e">
        <f t="shared" si="24"/>
        <v>#VALUE!</v>
      </c>
      <c r="U43" s="56" t="e">
        <f t="shared" si="9"/>
        <v>#VALUE!</v>
      </c>
      <c r="V43" s="56" t="e">
        <f t="shared" si="3"/>
        <v>#VALUE!</v>
      </c>
      <c r="W43" s="71" t="e">
        <f t="shared" si="28"/>
        <v>#VALUE!</v>
      </c>
      <c r="X43" s="56">
        <f t="shared" si="4"/>
        <v>1.5847271058450412</v>
      </c>
      <c r="Y43" s="66">
        <v>1.5</v>
      </c>
      <c r="Z43" s="66">
        <v>0.5</v>
      </c>
      <c r="AA43" s="66">
        <v>0.5</v>
      </c>
      <c r="AB43" s="56" t="e">
        <f t="shared" si="10"/>
        <v>#VALUE!</v>
      </c>
      <c r="AC43" s="73" t="e">
        <f t="shared" si="5"/>
        <v>#VALUE!</v>
      </c>
      <c r="AD43" s="56" t="e">
        <f t="shared" si="25"/>
        <v>#VALUE!</v>
      </c>
      <c r="AE43" s="48" t="e">
        <f t="shared" si="6"/>
        <v>#VALUE!</v>
      </c>
      <c r="AF43" s="72">
        <f t="shared" si="26"/>
        <v>5.1111111111111107</v>
      </c>
      <c r="AG43" s="72" t="e">
        <f t="shared" si="7"/>
        <v>#VALUE!</v>
      </c>
      <c r="AH43" s="72" t="e">
        <f t="shared" si="11"/>
        <v>#VALUE!</v>
      </c>
    </row>
    <row r="44" spans="1:35" x14ac:dyDescent="0.35">
      <c r="A44" s="63">
        <f t="shared" si="12"/>
        <v>-9</v>
      </c>
      <c r="B44" s="55">
        <f t="shared" si="0"/>
        <v>452.71111111110963</v>
      </c>
      <c r="C44" s="55" t="e">
        <f t="shared" si="8"/>
        <v>#VALUE!</v>
      </c>
      <c r="D44" s="55" t="e">
        <f t="shared" si="1"/>
        <v>#VALUE!</v>
      </c>
      <c r="E44" s="74" t="e">
        <f t="shared" si="13"/>
        <v>#VALUE!</v>
      </c>
      <c r="F44" s="60">
        <f t="shared" si="14"/>
        <v>0.5</v>
      </c>
      <c r="G44" s="66">
        <v>3</v>
      </c>
      <c r="H44" s="56" t="e">
        <f t="shared" si="2"/>
        <v>#VALUE!</v>
      </c>
      <c r="I44" s="55" t="e">
        <f t="shared" si="15"/>
        <v>#VALUE!</v>
      </c>
      <c r="J44" s="75">
        <f t="shared" si="16"/>
        <v>0.6</v>
      </c>
      <c r="K44" s="64">
        <f t="shared" si="17"/>
        <v>4521.4359999999979</v>
      </c>
      <c r="L44" s="64">
        <f t="shared" si="18"/>
        <v>4521.3079999999982</v>
      </c>
      <c r="M44" s="56" t="e">
        <f t="shared" si="19"/>
        <v>#VALUE!</v>
      </c>
      <c r="N44" s="56" t="e">
        <f t="shared" si="20"/>
        <v>#VALUE!</v>
      </c>
      <c r="O44" s="69" t="e">
        <f t="shared" si="21"/>
        <v>#VALUE!</v>
      </c>
      <c r="P44" s="45" t="e">
        <f t="shared" si="22"/>
        <v>#VALUE!</v>
      </c>
      <c r="Q44" s="45" t="e">
        <f t="shared" si="23"/>
        <v>#VALUE!</v>
      </c>
      <c r="R44" s="45" t="e">
        <f t="shared" si="27"/>
        <v>#VALUE!</v>
      </c>
      <c r="S44" s="52">
        <v>0.128</v>
      </c>
      <c r="T44" s="56" t="e">
        <f t="shared" si="24"/>
        <v>#VALUE!</v>
      </c>
      <c r="U44" s="56" t="e">
        <f t="shared" si="9"/>
        <v>#VALUE!</v>
      </c>
      <c r="V44" s="56" t="e">
        <f t="shared" si="3"/>
        <v>#VALUE!</v>
      </c>
      <c r="W44" s="71" t="e">
        <f t="shared" si="28"/>
        <v>#VALUE!</v>
      </c>
      <c r="X44" s="56">
        <f t="shared" si="4"/>
        <v>1.5847271058450412</v>
      </c>
      <c r="Y44" s="66">
        <v>1.5</v>
      </c>
      <c r="Z44" s="66">
        <v>0.5</v>
      </c>
      <c r="AA44" s="66">
        <v>0.5</v>
      </c>
      <c r="AB44" s="56" t="e">
        <f t="shared" si="10"/>
        <v>#VALUE!</v>
      </c>
      <c r="AC44" s="73" t="e">
        <f t="shared" si="5"/>
        <v>#VALUE!</v>
      </c>
      <c r="AD44" s="56" t="e">
        <f t="shared" si="25"/>
        <v>#VALUE!</v>
      </c>
      <c r="AE44" s="48" t="e">
        <f t="shared" si="6"/>
        <v>#VALUE!</v>
      </c>
      <c r="AF44" s="72">
        <f t="shared" si="26"/>
        <v>5.1111111111111107</v>
      </c>
      <c r="AG44" s="72" t="e">
        <f t="shared" si="7"/>
        <v>#VALUE!</v>
      </c>
      <c r="AH44" s="72" t="e">
        <f t="shared" si="11"/>
        <v>#VALUE!</v>
      </c>
    </row>
    <row r="45" spans="1:35" x14ac:dyDescent="0.35">
      <c r="A45" s="63">
        <f t="shared" si="12"/>
        <v>-10</v>
      </c>
      <c r="B45" s="55">
        <f t="shared" si="0"/>
        <v>447.19999999999857</v>
      </c>
      <c r="C45" s="55" t="e">
        <f t="shared" si="8"/>
        <v>#VALUE!</v>
      </c>
      <c r="D45" s="55" t="e">
        <f t="shared" si="1"/>
        <v>#VALUE!</v>
      </c>
      <c r="E45" s="74" t="e">
        <f t="shared" si="13"/>
        <v>#VALUE!</v>
      </c>
      <c r="F45" s="60">
        <f t="shared" si="14"/>
        <v>0.5</v>
      </c>
      <c r="G45" s="66">
        <v>21.25</v>
      </c>
      <c r="H45" s="56" t="e">
        <f t="shared" si="2"/>
        <v>#VALUE!</v>
      </c>
      <c r="I45" s="55" t="e">
        <f t="shared" si="15"/>
        <v>#VALUE!</v>
      </c>
      <c r="J45" s="75">
        <f t="shared" si="16"/>
        <v>0.6</v>
      </c>
      <c r="K45" s="64">
        <f t="shared" si="17"/>
        <v>4521.3079999999982</v>
      </c>
      <c r="L45" s="64">
        <f t="shared" si="18"/>
        <v>4521.1799999999985</v>
      </c>
      <c r="M45" s="56" t="e">
        <f t="shared" si="19"/>
        <v>#VALUE!</v>
      </c>
      <c r="N45" s="56" t="e">
        <f t="shared" si="20"/>
        <v>#VALUE!</v>
      </c>
      <c r="O45" s="69" t="e">
        <f t="shared" si="21"/>
        <v>#VALUE!</v>
      </c>
      <c r="P45" s="45" t="e">
        <f t="shared" si="22"/>
        <v>#VALUE!</v>
      </c>
      <c r="Q45" s="45" t="e">
        <f t="shared" si="23"/>
        <v>#VALUE!</v>
      </c>
      <c r="R45" s="45" t="e">
        <f t="shared" si="27"/>
        <v>#VALUE!</v>
      </c>
      <c r="S45" s="52">
        <v>0.128</v>
      </c>
      <c r="T45" s="56" t="e">
        <f t="shared" si="24"/>
        <v>#VALUE!</v>
      </c>
      <c r="U45" s="56" t="e">
        <f t="shared" si="9"/>
        <v>#VALUE!</v>
      </c>
      <c r="V45" s="56" t="e">
        <f t="shared" si="3"/>
        <v>#VALUE!</v>
      </c>
      <c r="W45" s="71" t="e">
        <f t="shared" si="28"/>
        <v>#VALUE!</v>
      </c>
      <c r="X45" s="56">
        <f t="shared" si="4"/>
        <v>1.5847271058450412</v>
      </c>
      <c r="Y45" s="66">
        <v>1.5</v>
      </c>
      <c r="Z45" s="66">
        <v>0.5</v>
      </c>
      <c r="AA45" s="66">
        <v>0.5</v>
      </c>
      <c r="AB45" s="56" t="e">
        <f t="shared" si="10"/>
        <v>#VALUE!</v>
      </c>
      <c r="AC45" s="73" t="e">
        <f t="shared" si="5"/>
        <v>#VALUE!</v>
      </c>
      <c r="AD45" s="56" t="e">
        <f t="shared" si="25"/>
        <v>#VALUE!</v>
      </c>
      <c r="AE45" s="48" t="e">
        <f t="shared" si="6"/>
        <v>#VALUE!</v>
      </c>
      <c r="AF45" s="72">
        <f t="shared" si="26"/>
        <v>5.1111111111111107</v>
      </c>
      <c r="AG45" s="72" t="e">
        <f t="shared" si="7"/>
        <v>#VALUE!</v>
      </c>
      <c r="AH45" s="72" t="e">
        <f t="shared" si="11"/>
        <v>#VALUE!</v>
      </c>
    </row>
    <row r="46" spans="1:35" x14ac:dyDescent="0.35">
      <c r="A46" s="63">
        <f t="shared" si="12"/>
        <v>-11</v>
      </c>
      <c r="B46" s="55">
        <f t="shared" si="0"/>
        <v>441.6888888888875</v>
      </c>
      <c r="C46" s="55" t="e">
        <f t="shared" si="8"/>
        <v>#VALUE!</v>
      </c>
      <c r="D46" s="55" t="e">
        <f t="shared" si="1"/>
        <v>#VALUE!</v>
      </c>
      <c r="E46" s="74" t="e">
        <f t="shared" si="13"/>
        <v>#VALUE!</v>
      </c>
      <c r="F46" s="60">
        <f t="shared" si="14"/>
        <v>0.5</v>
      </c>
      <c r="G46" s="66">
        <v>22.25</v>
      </c>
      <c r="H46" s="56" t="e">
        <f t="shared" si="2"/>
        <v>#VALUE!</v>
      </c>
      <c r="I46" s="55" t="e">
        <f t="shared" si="15"/>
        <v>#VALUE!</v>
      </c>
      <c r="J46" s="75">
        <f t="shared" si="16"/>
        <v>0.6</v>
      </c>
      <c r="K46" s="64">
        <f t="shared" si="17"/>
        <v>4521.1799999999985</v>
      </c>
      <c r="L46" s="64">
        <f t="shared" si="18"/>
        <v>4521.0519999999988</v>
      </c>
      <c r="M46" s="56" t="e">
        <f t="shared" si="19"/>
        <v>#VALUE!</v>
      </c>
      <c r="N46" s="56" t="e">
        <f t="shared" si="20"/>
        <v>#VALUE!</v>
      </c>
      <c r="O46" s="69" t="e">
        <f t="shared" si="21"/>
        <v>#VALUE!</v>
      </c>
      <c r="P46" s="45" t="e">
        <f t="shared" si="22"/>
        <v>#VALUE!</v>
      </c>
      <c r="Q46" s="45" t="e">
        <f t="shared" si="23"/>
        <v>#VALUE!</v>
      </c>
      <c r="R46" s="45" t="e">
        <f t="shared" si="27"/>
        <v>#VALUE!</v>
      </c>
      <c r="S46" s="52">
        <v>0.128</v>
      </c>
      <c r="T46" s="56" t="e">
        <f t="shared" si="24"/>
        <v>#VALUE!</v>
      </c>
      <c r="U46" s="56" t="e">
        <f t="shared" si="9"/>
        <v>#VALUE!</v>
      </c>
      <c r="V46" s="56" t="e">
        <f t="shared" si="3"/>
        <v>#VALUE!</v>
      </c>
      <c r="W46" s="71" t="e">
        <f t="shared" si="28"/>
        <v>#VALUE!</v>
      </c>
      <c r="X46" s="56">
        <f t="shared" si="4"/>
        <v>1.5847271058450412</v>
      </c>
      <c r="Y46" s="66">
        <v>1.5</v>
      </c>
      <c r="Z46" s="66">
        <v>0.5</v>
      </c>
      <c r="AA46" s="66">
        <v>0.5</v>
      </c>
      <c r="AB46" s="56" t="e">
        <f t="shared" si="10"/>
        <v>#VALUE!</v>
      </c>
      <c r="AC46" s="73" t="e">
        <f t="shared" si="5"/>
        <v>#VALUE!</v>
      </c>
      <c r="AD46" s="56" t="e">
        <f t="shared" si="25"/>
        <v>#VALUE!</v>
      </c>
      <c r="AE46" s="48" t="e">
        <f t="shared" si="6"/>
        <v>#VALUE!</v>
      </c>
      <c r="AF46" s="72">
        <f t="shared" si="26"/>
        <v>5.1111111111111107</v>
      </c>
      <c r="AG46" s="72" t="e">
        <f t="shared" si="7"/>
        <v>#VALUE!</v>
      </c>
      <c r="AH46" s="72" t="e">
        <f t="shared" si="11"/>
        <v>#VALUE!</v>
      </c>
    </row>
    <row r="47" spans="1:35" x14ac:dyDescent="0.35">
      <c r="A47" s="63">
        <f t="shared" si="12"/>
        <v>-12</v>
      </c>
      <c r="B47" s="55">
        <f t="shared" si="0"/>
        <v>436.17777777777644</v>
      </c>
      <c r="C47" s="55" t="e">
        <f t="shared" si="8"/>
        <v>#VALUE!</v>
      </c>
      <c r="D47" s="55" t="e">
        <f t="shared" si="1"/>
        <v>#VALUE!</v>
      </c>
      <c r="E47" s="74" t="e">
        <f t="shared" si="13"/>
        <v>#VALUE!</v>
      </c>
      <c r="F47" s="60">
        <f t="shared" si="14"/>
        <v>0.5</v>
      </c>
      <c r="G47" s="66">
        <v>23.25</v>
      </c>
      <c r="H47" s="56" t="e">
        <f t="shared" si="2"/>
        <v>#VALUE!</v>
      </c>
      <c r="I47" s="55" t="e">
        <f t="shared" si="15"/>
        <v>#VALUE!</v>
      </c>
      <c r="J47" s="75">
        <f t="shared" si="16"/>
        <v>0.6</v>
      </c>
      <c r="K47" s="64">
        <f t="shared" si="17"/>
        <v>4521.0519999999988</v>
      </c>
      <c r="L47" s="64">
        <f t="shared" si="18"/>
        <v>4520.9239999999991</v>
      </c>
      <c r="M47" s="56" t="e">
        <f t="shared" si="19"/>
        <v>#VALUE!</v>
      </c>
      <c r="N47" s="56" t="e">
        <f t="shared" si="20"/>
        <v>#VALUE!</v>
      </c>
      <c r="O47" s="69" t="e">
        <f t="shared" si="21"/>
        <v>#VALUE!</v>
      </c>
      <c r="P47" s="45" t="e">
        <f t="shared" si="22"/>
        <v>#VALUE!</v>
      </c>
      <c r="Q47" s="45" t="e">
        <f t="shared" si="23"/>
        <v>#VALUE!</v>
      </c>
      <c r="R47" s="45" t="e">
        <f t="shared" si="27"/>
        <v>#VALUE!</v>
      </c>
      <c r="S47" s="52">
        <v>0.128</v>
      </c>
      <c r="T47" s="56" t="e">
        <f t="shared" si="24"/>
        <v>#VALUE!</v>
      </c>
      <c r="U47" s="56" t="e">
        <f t="shared" si="9"/>
        <v>#VALUE!</v>
      </c>
      <c r="V47" s="56" t="e">
        <f t="shared" si="3"/>
        <v>#VALUE!</v>
      </c>
      <c r="W47" s="71" t="e">
        <f t="shared" si="28"/>
        <v>#VALUE!</v>
      </c>
      <c r="X47" s="56">
        <f t="shared" si="4"/>
        <v>1.5847271058450412</v>
      </c>
      <c r="Y47" s="66">
        <v>1.5</v>
      </c>
      <c r="Z47" s="66">
        <v>0.5</v>
      </c>
      <c r="AA47" s="66">
        <v>0.5</v>
      </c>
      <c r="AB47" s="56" t="e">
        <f t="shared" si="10"/>
        <v>#VALUE!</v>
      </c>
      <c r="AC47" s="73" t="e">
        <f t="shared" si="5"/>
        <v>#VALUE!</v>
      </c>
      <c r="AD47" s="56" t="e">
        <f t="shared" si="25"/>
        <v>#VALUE!</v>
      </c>
      <c r="AE47" s="48" t="e">
        <f t="shared" si="6"/>
        <v>#VALUE!</v>
      </c>
      <c r="AF47" s="72">
        <f t="shared" si="26"/>
        <v>5.1111111111111107</v>
      </c>
      <c r="AG47" s="72" t="e">
        <f t="shared" si="7"/>
        <v>#VALUE!</v>
      </c>
      <c r="AH47" s="72" t="e">
        <f t="shared" si="11"/>
        <v>#VALUE!</v>
      </c>
    </row>
    <row r="48" spans="1:35" x14ac:dyDescent="0.35">
      <c r="A48" s="63">
        <f t="shared" si="12"/>
        <v>-13</v>
      </c>
      <c r="B48" s="55">
        <f t="shared" si="0"/>
        <v>430.66666666666538</v>
      </c>
      <c r="C48" s="55" t="e">
        <f t="shared" si="8"/>
        <v>#VALUE!</v>
      </c>
      <c r="D48" s="55" t="e">
        <f t="shared" si="1"/>
        <v>#VALUE!</v>
      </c>
      <c r="E48" s="74" t="e">
        <f t="shared" si="13"/>
        <v>#VALUE!</v>
      </c>
      <c r="F48" s="60">
        <f t="shared" si="14"/>
        <v>0.5</v>
      </c>
      <c r="G48" s="66">
        <v>24.25</v>
      </c>
      <c r="H48" s="56" t="e">
        <f t="shared" si="2"/>
        <v>#VALUE!</v>
      </c>
      <c r="I48" s="55" t="e">
        <f t="shared" si="15"/>
        <v>#VALUE!</v>
      </c>
      <c r="J48" s="75">
        <f t="shared" si="16"/>
        <v>0.6</v>
      </c>
      <c r="K48" s="64">
        <f t="shared" si="17"/>
        <v>4520.9239999999991</v>
      </c>
      <c r="L48" s="64">
        <f t="shared" si="18"/>
        <v>4520.7959999999994</v>
      </c>
      <c r="M48" s="56" t="e">
        <f t="shared" si="19"/>
        <v>#VALUE!</v>
      </c>
      <c r="N48" s="56" t="e">
        <f t="shared" si="20"/>
        <v>#VALUE!</v>
      </c>
      <c r="O48" s="69" t="e">
        <f t="shared" si="21"/>
        <v>#VALUE!</v>
      </c>
      <c r="P48" s="45" t="e">
        <f t="shared" si="22"/>
        <v>#VALUE!</v>
      </c>
      <c r="Q48" s="45" t="e">
        <f t="shared" si="23"/>
        <v>#VALUE!</v>
      </c>
      <c r="R48" s="45" t="e">
        <f t="shared" si="27"/>
        <v>#VALUE!</v>
      </c>
      <c r="S48" s="52">
        <v>0.128</v>
      </c>
      <c r="T48" s="56" t="e">
        <f t="shared" si="24"/>
        <v>#VALUE!</v>
      </c>
      <c r="U48" s="56" t="e">
        <f t="shared" si="9"/>
        <v>#VALUE!</v>
      </c>
      <c r="V48" s="56" t="e">
        <f t="shared" si="3"/>
        <v>#VALUE!</v>
      </c>
      <c r="W48" s="71" t="e">
        <f t="shared" si="28"/>
        <v>#VALUE!</v>
      </c>
      <c r="X48" s="56">
        <f t="shared" si="4"/>
        <v>1.5847271058450412</v>
      </c>
      <c r="Y48" s="66">
        <v>1.5</v>
      </c>
      <c r="Z48" s="66">
        <v>0.5</v>
      </c>
      <c r="AA48" s="66">
        <v>0.5</v>
      </c>
      <c r="AB48" s="56" t="e">
        <f t="shared" si="10"/>
        <v>#VALUE!</v>
      </c>
      <c r="AC48" s="73" t="e">
        <f t="shared" si="5"/>
        <v>#VALUE!</v>
      </c>
      <c r="AD48" s="56" t="e">
        <f t="shared" si="25"/>
        <v>#VALUE!</v>
      </c>
      <c r="AE48" s="48" t="e">
        <f t="shared" si="6"/>
        <v>#VALUE!</v>
      </c>
      <c r="AF48" s="72">
        <f t="shared" si="26"/>
        <v>5.1111111111111107</v>
      </c>
      <c r="AG48" s="72" t="e">
        <f t="shared" si="7"/>
        <v>#VALUE!</v>
      </c>
      <c r="AH48" s="72" t="e">
        <f t="shared" si="11"/>
        <v>#VALUE!</v>
      </c>
    </row>
    <row r="49" spans="1:34" x14ac:dyDescent="0.35">
      <c r="A49" s="63">
        <f t="shared" si="12"/>
        <v>-14</v>
      </c>
      <c r="B49" s="55">
        <f t="shared" si="0"/>
        <v>425.15555555555432</v>
      </c>
      <c r="C49" s="55" t="e">
        <f t="shared" si="8"/>
        <v>#VALUE!</v>
      </c>
      <c r="D49" s="55" t="e">
        <f t="shared" si="1"/>
        <v>#VALUE!</v>
      </c>
      <c r="E49" s="74" t="e">
        <f t="shared" si="13"/>
        <v>#VALUE!</v>
      </c>
      <c r="F49" s="60">
        <f t="shared" si="14"/>
        <v>0.5</v>
      </c>
      <c r="G49" s="66">
        <v>25.25</v>
      </c>
      <c r="H49" s="56" t="e">
        <f t="shared" si="2"/>
        <v>#VALUE!</v>
      </c>
      <c r="I49" s="55" t="e">
        <f t="shared" si="15"/>
        <v>#VALUE!</v>
      </c>
      <c r="J49" s="75">
        <f t="shared" si="16"/>
        <v>0.6</v>
      </c>
      <c r="K49" s="64">
        <f t="shared" si="17"/>
        <v>4520.7959999999994</v>
      </c>
      <c r="L49" s="64">
        <f t="shared" si="18"/>
        <v>4520.6679999999997</v>
      </c>
      <c r="M49" s="56" t="e">
        <f t="shared" si="19"/>
        <v>#VALUE!</v>
      </c>
      <c r="N49" s="56" t="e">
        <f t="shared" si="20"/>
        <v>#VALUE!</v>
      </c>
      <c r="O49" s="69" t="e">
        <f t="shared" si="21"/>
        <v>#VALUE!</v>
      </c>
      <c r="P49" s="45" t="e">
        <f t="shared" si="22"/>
        <v>#VALUE!</v>
      </c>
      <c r="Q49" s="45" t="e">
        <f t="shared" si="23"/>
        <v>#VALUE!</v>
      </c>
      <c r="R49" s="45" t="e">
        <f t="shared" si="27"/>
        <v>#VALUE!</v>
      </c>
      <c r="S49" s="52">
        <v>0.128</v>
      </c>
      <c r="T49" s="56" t="e">
        <f t="shared" si="24"/>
        <v>#VALUE!</v>
      </c>
      <c r="U49" s="56" t="e">
        <f t="shared" si="9"/>
        <v>#VALUE!</v>
      </c>
      <c r="V49" s="56" t="e">
        <f t="shared" si="3"/>
        <v>#VALUE!</v>
      </c>
      <c r="W49" s="71" t="e">
        <f t="shared" si="28"/>
        <v>#VALUE!</v>
      </c>
      <c r="X49" s="56">
        <f t="shared" si="4"/>
        <v>1.5847271058450412</v>
      </c>
      <c r="Y49" s="66">
        <v>1.5</v>
      </c>
      <c r="Z49" s="66">
        <v>0.5</v>
      </c>
      <c r="AA49" s="66">
        <v>0.5</v>
      </c>
      <c r="AB49" s="56" t="e">
        <f t="shared" si="10"/>
        <v>#VALUE!</v>
      </c>
      <c r="AC49" s="73" t="e">
        <f t="shared" si="5"/>
        <v>#VALUE!</v>
      </c>
      <c r="AD49" s="56" t="e">
        <f t="shared" si="25"/>
        <v>#VALUE!</v>
      </c>
      <c r="AE49" s="48" t="e">
        <f t="shared" si="6"/>
        <v>#VALUE!</v>
      </c>
      <c r="AF49" s="72">
        <f t="shared" si="26"/>
        <v>5.1111111111111107</v>
      </c>
      <c r="AG49" s="72" t="e">
        <f t="shared" si="7"/>
        <v>#VALUE!</v>
      </c>
      <c r="AH49" s="72" t="e">
        <f t="shared" si="11"/>
        <v>#VALUE!</v>
      </c>
    </row>
    <row r="50" spans="1:34" x14ac:dyDescent="0.35">
      <c r="A50" s="63">
        <f t="shared" si="12"/>
        <v>-15</v>
      </c>
      <c r="B50" s="55">
        <f t="shared" si="0"/>
        <v>419.64444444444325</v>
      </c>
      <c r="C50" s="55" t="e">
        <f t="shared" si="8"/>
        <v>#VALUE!</v>
      </c>
      <c r="D50" s="55" t="e">
        <f t="shared" si="1"/>
        <v>#VALUE!</v>
      </c>
      <c r="E50" s="74" t="e">
        <f t="shared" si="13"/>
        <v>#VALUE!</v>
      </c>
      <c r="F50" s="60">
        <f t="shared" si="14"/>
        <v>0.5</v>
      </c>
      <c r="G50" s="66">
        <v>26.25</v>
      </c>
      <c r="H50" s="56" t="e">
        <f t="shared" si="2"/>
        <v>#VALUE!</v>
      </c>
      <c r="I50" s="55" t="e">
        <f t="shared" si="15"/>
        <v>#VALUE!</v>
      </c>
      <c r="J50" s="75">
        <f t="shared" si="16"/>
        <v>0.6</v>
      </c>
      <c r="K50" s="64">
        <f t="shared" si="17"/>
        <v>4520.6679999999997</v>
      </c>
      <c r="L50" s="64">
        <f t="shared" si="18"/>
        <v>4520.54</v>
      </c>
      <c r="M50" s="56" t="e">
        <f t="shared" si="19"/>
        <v>#VALUE!</v>
      </c>
      <c r="N50" s="56" t="e">
        <f t="shared" si="20"/>
        <v>#VALUE!</v>
      </c>
      <c r="O50" s="69" t="e">
        <f t="shared" si="21"/>
        <v>#VALUE!</v>
      </c>
      <c r="P50" s="45" t="e">
        <f t="shared" si="22"/>
        <v>#VALUE!</v>
      </c>
      <c r="Q50" s="45" t="e">
        <f t="shared" si="23"/>
        <v>#VALUE!</v>
      </c>
      <c r="R50" s="45" t="e">
        <f t="shared" si="27"/>
        <v>#VALUE!</v>
      </c>
      <c r="S50" s="52">
        <v>0.128</v>
      </c>
      <c r="T50" s="56" t="e">
        <f t="shared" si="24"/>
        <v>#VALUE!</v>
      </c>
      <c r="U50" s="56" t="e">
        <f t="shared" si="9"/>
        <v>#VALUE!</v>
      </c>
      <c r="V50" s="56" t="e">
        <f t="shared" si="3"/>
        <v>#VALUE!</v>
      </c>
      <c r="W50" s="71" t="e">
        <f t="shared" si="28"/>
        <v>#VALUE!</v>
      </c>
      <c r="X50" s="56">
        <f t="shared" si="4"/>
        <v>1.5847271058450412</v>
      </c>
      <c r="Y50" s="66">
        <v>1.5</v>
      </c>
      <c r="Z50" s="66">
        <v>0.5</v>
      </c>
      <c r="AA50" s="66">
        <v>0.5</v>
      </c>
      <c r="AB50" s="56" t="e">
        <f t="shared" si="10"/>
        <v>#VALUE!</v>
      </c>
      <c r="AC50" s="73" t="e">
        <f t="shared" si="5"/>
        <v>#VALUE!</v>
      </c>
      <c r="AD50" s="56" t="e">
        <f t="shared" si="25"/>
        <v>#VALUE!</v>
      </c>
      <c r="AE50" s="48" t="e">
        <f t="shared" si="6"/>
        <v>#VALUE!</v>
      </c>
      <c r="AF50" s="72">
        <f t="shared" si="26"/>
        <v>5.1111111111111107</v>
      </c>
      <c r="AG50" s="72" t="e">
        <f t="shared" si="7"/>
        <v>#VALUE!</v>
      </c>
      <c r="AH50" s="72" t="e">
        <f t="shared" si="11"/>
        <v>#VALUE!</v>
      </c>
    </row>
    <row r="51" spans="1:34" x14ac:dyDescent="0.35">
      <c r="A51" s="63">
        <f t="shared" si="12"/>
        <v>-16</v>
      </c>
      <c r="B51" s="55">
        <f t="shared" si="0"/>
        <v>414.13333333333219</v>
      </c>
      <c r="C51" s="55" t="e">
        <f t="shared" si="8"/>
        <v>#VALUE!</v>
      </c>
      <c r="D51" s="55" t="e">
        <f t="shared" si="1"/>
        <v>#VALUE!</v>
      </c>
      <c r="E51" s="74" t="e">
        <f t="shared" si="13"/>
        <v>#VALUE!</v>
      </c>
      <c r="F51" s="60">
        <f t="shared" si="14"/>
        <v>0.5</v>
      </c>
      <c r="G51" s="66">
        <v>27.25</v>
      </c>
      <c r="H51" s="56" t="e">
        <f t="shared" si="2"/>
        <v>#VALUE!</v>
      </c>
      <c r="I51" s="55" t="e">
        <f t="shared" si="15"/>
        <v>#VALUE!</v>
      </c>
      <c r="J51" s="75">
        <f t="shared" si="16"/>
        <v>0.6</v>
      </c>
      <c r="K51" s="64">
        <f t="shared" si="17"/>
        <v>4520.54</v>
      </c>
      <c r="L51" s="64">
        <f t="shared" si="18"/>
        <v>4520.4120000000003</v>
      </c>
      <c r="M51" s="56" t="e">
        <f t="shared" si="19"/>
        <v>#VALUE!</v>
      </c>
      <c r="N51" s="56" t="e">
        <f t="shared" si="20"/>
        <v>#VALUE!</v>
      </c>
      <c r="O51" s="69" t="e">
        <f t="shared" si="21"/>
        <v>#VALUE!</v>
      </c>
      <c r="P51" s="45" t="e">
        <f t="shared" si="22"/>
        <v>#VALUE!</v>
      </c>
      <c r="Q51" s="45" t="e">
        <f t="shared" si="23"/>
        <v>#VALUE!</v>
      </c>
      <c r="R51" s="45" t="e">
        <f t="shared" si="27"/>
        <v>#VALUE!</v>
      </c>
      <c r="S51" s="52">
        <v>0.128</v>
      </c>
      <c r="T51" s="56" t="e">
        <f t="shared" si="24"/>
        <v>#VALUE!</v>
      </c>
      <c r="U51" s="56" t="e">
        <f t="shared" si="9"/>
        <v>#VALUE!</v>
      </c>
      <c r="V51" s="56" t="e">
        <f t="shared" si="3"/>
        <v>#VALUE!</v>
      </c>
      <c r="W51" s="71" t="e">
        <f t="shared" si="28"/>
        <v>#VALUE!</v>
      </c>
      <c r="X51" s="56">
        <f t="shared" si="4"/>
        <v>1.5847271058450412</v>
      </c>
      <c r="Y51" s="66">
        <v>1.5</v>
      </c>
      <c r="Z51" s="66">
        <v>0.5</v>
      </c>
      <c r="AA51" s="66">
        <v>0.5</v>
      </c>
      <c r="AB51" s="56" t="e">
        <f t="shared" si="10"/>
        <v>#VALUE!</v>
      </c>
      <c r="AC51" s="73" t="e">
        <f t="shared" si="5"/>
        <v>#VALUE!</v>
      </c>
      <c r="AD51" s="56" t="e">
        <f t="shared" si="25"/>
        <v>#VALUE!</v>
      </c>
      <c r="AE51" s="48" t="e">
        <f t="shared" si="6"/>
        <v>#VALUE!</v>
      </c>
      <c r="AF51" s="72">
        <f t="shared" si="26"/>
        <v>5.1111111111111107</v>
      </c>
      <c r="AG51" s="72" t="e">
        <f t="shared" si="7"/>
        <v>#VALUE!</v>
      </c>
      <c r="AH51" s="72" t="e">
        <f t="shared" si="11"/>
        <v>#VALUE!</v>
      </c>
    </row>
    <row r="52" spans="1:34" x14ac:dyDescent="0.35">
      <c r="A52" s="63">
        <f t="shared" si="12"/>
        <v>-17</v>
      </c>
      <c r="B52" s="55">
        <f t="shared" si="0"/>
        <v>408.62222222222113</v>
      </c>
      <c r="C52" s="55" t="e">
        <f t="shared" si="8"/>
        <v>#VALUE!</v>
      </c>
      <c r="D52" s="55" t="e">
        <f t="shared" si="1"/>
        <v>#VALUE!</v>
      </c>
      <c r="E52" s="74" t="e">
        <f t="shared" si="13"/>
        <v>#VALUE!</v>
      </c>
      <c r="F52" s="60">
        <f t="shared" si="14"/>
        <v>0.5</v>
      </c>
      <c r="G52" s="66">
        <v>28.25</v>
      </c>
      <c r="H52" s="56" t="e">
        <f t="shared" si="2"/>
        <v>#VALUE!</v>
      </c>
      <c r="I52" s="55" t="e">
        <f t="shared" si="15"/>
        <v>#VALUE!</v>
      </c>
      <c r="J52" s="75">
        <f t="shared" si="16"/>
        <v>0.6</v>
      </c>
      <c r="K52" s="64">
        <f t="shared" si="17"/>
        <v>4520.4120000000003</v>
      </c>
      <c r="L52" s="64">
        <f t="shared" si="18"/>
        <v>4520.2840000000006</v>
      </c>
      <c r="M52" s="56" t="e">
        <f t="shared" si="19"/>
        <v>#VALUE!</v>
      </c>
      <c r="N52" s="56" t="e">
        <f t="shared" si="20"/>
        <v>#VALUE!</v>
      </c>
      <c r="O52" s="69" t="e">
        <f t="shared" si="21"/>
        <v>#VALUE!</v>
      </c>
      <c r="P52" s="45" t="e">
        <f t="shared" si="22"/>
        <v>#VALUE!</v>
      </c>
      <c r="Q52" s="45" t="e">
        <f t="shared" si="23"/>
        <v>#VALUE!</v>
      </c>
      <c r="R52" s="45" t="e">
        <f t="shared" si="27"/>
        <v>#VALUE!</v>
      </c>
      <c r="S52" s="52">
        <v>0.128</v>
      </c>
      <c r="T52" s="56" t="e">
        <f t="shared" si="24"/>
        <v>#VALUE!</v>
      </c>
      <c r="U52" s="56" t="e">
        <f t="shared" si="9"/>
        <v>#VALUE!</v>
      </c>
      <c r="V52" s="56" t="e">
        <f t="shared" si="3"/>
        <v>#VALUE!</v>
      </c>
      <c r="W52" s="71" t="e">
        <f t="shared" si="28"/>
        <v>#VALUE!</v>
      </c>
      <c r="X52" s="56">
        <f t="shared" si="4"/>
        <v>1.5847271058450412</v>
      </c>
      <c r="Y52" s="66">
        <v>1.5</v>
      </c>
      <c r="Z52" s="66">
        <v>0.5</v>
      </c>
      <c r="AA52" s="66">
        <v>0.5</v>
      </c>
      <c r="AB52" s="56" t="e">
        <f t="shared" si="10"/>
        <v>#VALUE!</v>
      </c>
      <c r="AC52" s="73" t="e">
        <f t="shared" si="5"/>
        <v>#VALUE!</v>
      </c>
      <c r="AD52" s="56" t="e">
        <f t="shared" si="25"/>
        <v>#VALUE!</v>
      </c>
      <c r="AE52" s="48" t="e">
        <f t="shared" si="6"/>
        <v>#VALUE!</v>
      </c>
      <c r="AF52" s="72">
        <f t="shared" si="26"/>
        <v>5.1111111111111107</v>
      </c>
      <c r="AG52" s="72" t="e">
        <f t="shared" si="7"/>
        <v>#VALUE!</v>
      </c>
      <c r="AH52" s="72" t="e">
        <f t="shared" si="11"/>
        <v>#VALUE!</v>
      </c>
    </row>
    <row r="53" spans="1:34" x14ac:dyDescent="0.35">
      <c r="A53" s="63">
        <f t="shared" si="12"/>
        <v>-18</v>
      </c>
      <c r="B53" s="55">
        <f t="shared" si="0"/>
        <v>403.11111111111006</v>
      </c>
      <c r="C53" s="55" t="e">
        <f t="shared" si="8"/>
        <v>#VALUE!</v>
      </c>
      <c r="D53" s="55" t="e">
        <f t="shared" si="1"/>
        <v>#VALUE!</v>
      </c>
      <c r="E53" s="74" t="e">
        <f t="shared" si="13"/>
        <v>#VALUE!</v>
      </c>
      <c r="F53" s="60">
        <f t="shared" si="14"/>
        <v>0.5</v>
      </c>
      <c r="G53" s="66">
        <v>29.25</v>
      </c>
      <c r="H53" s="56" t="e">
        <f t="shared" si="2"/>
        <v>#VALUE!</v>
      </c>
      <c r="I53" s="55" t="e">
        <f t="shared" si="15"/>
        <v>#VALUE!</v>
      </c>
      <c r="J53" s="75">
        <f t="shared" si="16"/>
        <v>0.6</v>
      </c>
      <c r="K53" s="64">
        <f t="shared" si="17"/>
        <v>4520.2840000000006</v>
      </c>
      <c r="L53" s="64">
        <f t="shared" si="18"/>
        <v>4520.1560000000009</v>
      </c>
      <c r="M53" s="56" t="e">
        <f t="shared" si="19"/>
        <v>#VALUE!</v>
      </c>
      <c r="N53" s="56" t="e">
        <f t="shared" si="20"/>
        <v>#VALUE!</v>
      </c>
      <c r="O53" s="69" t="e">
        <f t="shared" si="21"/>
        <v>#VALUE!</v>
      </c>
      <c r="P53" s="45" t="e">
        <f t="shared" si="22"/>
        <v>#VALUE!</v>
      </c>
      <c r="Q53" s="45" t="e">
        <f t="shared" si="23"/>
        <v>#VALUE!</v>
      </c>
      <c r="R53" s="45" t="e">
        <f t="shared" si="27"/>
        <v>#VALUE!</v>
      </c>
      <c r="S53" s="52">
        <v>0.128</v>
      </c>
      <c r="T53" s="56" t="e">
        <f t="shared" si="24"/>
        <v>#VALUE!</v>
      </c>
      <c r="U53" s="56" t="e">
        <f t="shared" si="9"/>
        <v>#VALUE!</v>
      </c>
      <c r="V53" s="56" t="e">
        <f t="shared" si="3"/>
        <v>#VALUE!</v>
      </c>
      <c r="W53" s="71" t="e">
        <f t="shared" si="28"/>
        <v>#VALUE!</v>
      </c>
      <c r="X53" s="56">
        <f t="shared" si="4"/>
        <v>1.5847271058450412</v>
      </c>
      <c r="Y53" s="66">
        <v>1.5</v>
      </c>
      <c r="Z53" s="66">
        <v>0.5</v>
      </c>
      <c r="AA53" s="66">
        <v>0.5</v>
      </c>
      <c r="AB53" s="56" t="e">
        <f t="shared" si="10"/>
        <v>#VALUE!</v>
      </c>
      <c r="AC53" s="73" t="e">
        <f t="shared" si="5"/>
        <v>#VALUE!</v>
      </c>
      <c r="AD53" s="56" t="e">
        <f t="shared" si="25"/>
        <v>#VALUE!</v>
      </c>
      <c r="AE53" s="48" t="e">
        <f t="shared" si="6"/>
        <v>#VALUE!</v>
      </c>
      <c r="AF53" s="72">
        <f t="shared" si="26"/>
        <v>5.1111111111111107</v>
      </c>
      <c r="AG53" s="72" t="e">
        <f t="shared" si="7"/>
        <v>#VALUE!</v>
      </c>
      <c r="AH53" s="72" t="e">
        <f t="shared" si="11"/>
        <v>#VALUE!</v>
      </c>
    </row>
    <row r="54" spans="1:34" x14ac:dyDescent="0.35">
      <c r="A54" s="63">
        <f t="shared" si="12"/>
        <v>-19</v>
      </c>
      <c r="B54" s="55">
        <f t="shared" si="0"/>
        <v>397.599999999999</v>
      </c>
      <c r="C54" s="55" t="e">
        <f t="shared" si="8"/>
        <v>#VALUE!</v>
      </c>
      <c r="D54" s="55" t="e">
        <f t="shared" si="1"/>
        <v>#VALUE!</v>
      </c>
      <c r="E54" s="74" t="e">
        <f t="shared" si="13"/>
        <v>#VALUE!</v>
      </c>
      <c r="F54" s="60">
        <f t="shared" si="14"/>
        <v>0.5</v>
      </c>
      <c r="G54" s="66">
        <v>30.25</v>
      </c>
      <c r="H54" s="56" t="e">
        <f t="shared" si="2"/>
        <v>#VALUE!</v>
      </c>
      <c r="I54" s="55" t="e">
        <f t="shared" si="15"/>
        <v>#VALUE!</v>
      </c>
      <c r="J54" s="75">
        <f t="shared" si="16"/>
        <v>0.6</v>
      </c>
      <c r="K54" s="64">
        <f t="shared" si="17"/>
        <v>4520.1560000000009</v>
      </c>
      <c r="L54" s="64">
        <f t="shared" si="18"/>
        <v>4520.0280000000012</v>
      </c>
      <c r="M54" s="56" t="e">
        <f t="shared" si="19"/>
        <v>#VALUE!</v>
      </c>
      <c r="N54" s="56" t="e">
        <f t="shared" si="20"/>
        <v>#VALUE!</v>
      </c>
      <c r="O54" s="69" t="e">
        <f t="shared" si="21"/>
        <v>#VALUE!</v>
      </c>
      <c r="P54" s="45" t="e">
        <f t="shared" si="22"/>
        <v>#VALUE!</v>
      </c>
      <c r="Q54" s="45" t="e">
        <f t="shared" si="23"/>
        <v>#VALUE!</v>
      </c>
      <c r="R54" s="45" t="e">
        <f t="shared" si="27"/>
        <v>#VALUE!</v>
      </c>
      <c r="S54" s="52">
        <v>0.128</v>
      </c>
      <c r="T54" s="56" t="e">
        <f t="shared" si="24"/>
        <v>#VALUE!</v>
      </c>
      <c r="U54" s="56" t="e">
        <f t="shared" si="9"/>
        <v>#VALUE!</v>
      </c>
      <c r="V54" s="56" t="e">
        <f t="shared" si="3"/>
        <v>#VALUE!</v>
      </c>
      <c r="W54" s="71" t="e">
        <f t="shared" si="28"/>
        <v>#VALUE!</v>
      </c>
      <c r="X54" s="56">
        <f t="shared" si="4"/>
        <v>1.5847271058450412</v>
      </c>
      <c r="Y54" s="66">
        <v>1.5</v>
      </c>
      <c r="Z54" s="66">
        <v>0.5</v>
      </c>
      <c r="AA54" s="66">
        <v>0.5</v>
      </c>
      <c r="AB54" s="56" t="e">
        <f t="shared" si="10"/>
        <v>#VALUE!</v>
      </c>
      <c r="AC54" s="73" t="e">
        <f t="shared" si="5"/>
        <v>#VALUE!</v>
      </c>
      <c r="AD54" s="56" t="e">
        <f t="shared" si="25"/>
        <v>#VALUE!</v>
      </c>
      <c r="AE54" s="48" t="e">
        <f t="shared" si="6"/>
        <v>#VALUE!</v>
      </c>
      <c r="AF54" s="72">
        <f t="shared" si="26"/>
        <v>5.1111111111111107</v>
      </c>
      <c r="AG54" s="72" t="e">
        <f t="shared" si="7"/>
        <v>#VALUE!</v>
      </c>
      <c r="AH54" s="72" t="e">
        <f t="shared" si="11"/>
        <v>#VALUE!</v>
      </c>
    </row>
    <row r="55" spans="1:34" x14ac:dyDescent="0.35">
      <c r="A55" s="63">
        <f t="shared" si="12"/>
        <v>-20</v>
      </c>
      <c r="B55" s="55">
        <f t="shared" si="0"/>
        <v>392.08888888888794</v>
      </c>
      <c r="C55" s="55" t="e">
        <f t="shared" si="8"/>
        <v>#VALUE!</v>
      </c>
      <c r="D55" s="55" t="e">
        <f t="shared" si="1"/>
        <v>#VALUE!</v>
      </c>
      <c r="E55" s="74" t="e">
        <f t="shared" si="13"/>
        <v>#VALUE!</v>
      </c>
      <c r="F55" s="60">
        <f t="shared" si="14"/>
        <v>0.5</v>
      </c>
      <c r="G55" s="66">
        <v>31.25</v>
      </c>
      <c r="H55" s="56" t="e">
        <f t="shared" si="2"/>
        <v>#VALUE!</v>
      </c>
      <c r="I55" s="55" t="e">
        <f t="shared" si="15"/>
        <v>#VALUE!</v>
      </c>
      <c r="J55" s="75">
        <f t="shared" si="16"/>
        <v>0.6</v>
      </c>
      <c r="K55" s="64">
        <f t="shared" si="17"/>
        <v>4520.0280000000012</v>
      </c>
      <c r="L55" s="64">
        <f t="shared" si="18"/>
        <v>4519.9000000000015</v>
      </c>
      <c r="M55" s="56" t="e">
        <f t="shared" si="19"/>
        <v>#VALUE!</v>
      </c>
      <c r="N55" s="56" t="e">
        <f t="shared" si="20"/>
        <v>#VALUE!</v>
      </c>
      <c r="O55" s="69" t="e">
        <f t="shared" si="21"/>
        <v>#VALUE!</v>
      </c>
      <c r="P55" s="45" t="e">
        <f t="shared" si="22"/>
        <v>#VALUE!</v>
      </c>
      <c r="Q55" s="45" t="e">
        <f t="shared" si="23"/>
        <v>#VALUE!</v>
      </c>
      <c r="R55" s="45" t="e">
        <f t="shared" si="27"/>
        <v>#VALUE!</v>
      </c>
      <c r="S55" s="52">
        <v>0.128</v>
      </c>
      <c r="T55" s="56" t="e">
        <f t="shared" si="24"/>
        <v>#VALUE!</v>
      </c>
      <c r="U55" s="56" t="e">
        <f t="shared" si="9"/>
        <v>#VALUE!</v>
      </c>
      <c r="V55" s="56" t="e">
        <f t="shared" si="3"/>
        <v>#VALUE!</v>
      </c>
      <c r="W55" s="71" t="e">
        <f t="shared" si="28"/>
        <v>#VALUE!</v>
      </c>
      <c r="X55" s="56">
        <f t="shared" si="4"/>
        <v>1.5847271058450412</v>
      </c>
      <c r="Y55" s="66">
        <v>1.5</v>
      </c>
      <c r="Z55" s="66">
        <v>0.5</v>
      </c>
      <c r="AA55" s="66">
        <v>0.5</v>
      </c>
      <c r="AB55" s="56" t="e">
        <f t="shared" si="10"/>
        <v>#VALUE!</v>
      </c>
      <c r="AC55" s="73" t="e">
        <f t="shared" si="5"/>
        <v>#VALUE!</v>
      </c>
      <c r="AD55" s="56" t="e">
        <f t="shared" si="25"/>
        <v>#VALUE!</v>
      </c>
      <c r="AE55" s="48" t="e">
        <f t="shared" si="6"/>
        <v>#VALUE!</v>
      </c>
      <c r="AF55" s="72">
        <f t="shared" si="26"/>
        <v>5.1111111111111107</v>
      </c>
      <c r="AG55" s="72" t="e">
        <f t="shared" si="7"/>
        <v>#VALUE!</v>
      </c>
      <c r="AH55" s="72" t="e">
        <f t="shared" si="11"/>
        <v>#VALUE!</v>
      </c>
    </row>
    <row r="56" spans="1:34" x14ac:dyDescent="0.35">
      <c r="A56" s="63">
        <f t="shared" si="12"/>
        <v>-21</v>
      </c>
      <c r="B56" s="55">
        <f t="shared" si="0"/>
        <v>386.57777777777687</v>
      </c>
      <c r="C56" s="55" t="e">
        <f t="shared" si="8"/>
        <v>#VALUE!</v>
      </c>
      <c r="D56" s="55" t="e">
        <f t="shared" si="1"/>
        <v>#VALUE!</v>
      </c>
      <c r="E56" s="74" t="e">
        <f t="shared" si="13"/>
        <v>#VALUE!</v>
      </c>
      <c r="F56" s="60">
        <f t="shared" si="14"/>
        <v>0.5</v>
      </c>
      <c r="G56" s="66">
        <v>32.25</v>
      </c>
      <c r="H56" s="56" t="e">
        <f t="shared" si="2"/>
        <v>#VALUE!</v>
      </c>
      <c r="I56" s="55" t="e">
        <f t="shared" si="15"/>
        <v>#VALUE!</v>
      </c>
      <c r="J56" s="75">
        <f t="shared" si="16"/>
        <v>0.6</v>
      </c>
      <c r="K56" s="64">
        <f t="shared" si="17"/>
        <v>4519.9000000000015</v>
      </c>
      <c r="L56" s="64">
        <f t="shared" si="18"/>
        <v>4489.8300000000017</v>
      </c>
      <c r="M56" s="56" t="e">
        <f t="shared" si="19"/>
        <v>#VALUE!</v>
      </c>
      <c r="N56" s="56" t="e">
        <f t="shared" si="20"/>
        <v>#VALUE!</v>
      </c>
      <c r="O56" s="69" t="e">
        <f t="shared" si="21"/>
        <v>#VALUE!</v>
      </c>
      <c r="P56" s="45" t="e">
        <f t="shared" si="22"/>
        <v>#VALUE!</v>
      </c>
      <c r="Q56" s="45" t="e">
        <f t="shared" si="23"/>
        <v>#VALUE!</v>
      </c>
      <c r="R56" s="45" t="e">
        <f t="shared" si="27"/>
        <v>#VALUE!</v>
      </c>
      <c r="S56" s="52">
        <v>30.07</v>
      </c>
      <c r="T56" s="56" t="e">
        <f t="shared" si="24"/>
        <v>#VALUE!</v>
      </c>
      <c r="U56" s="56" t="e">
        <f t="shared" si="9"/>
        <v>#VALUE!</v>
      </c>
      <c r="V56" s="56" t="e">
        <f t="shared" si="3"/>
        <v>#VALUE!</v>
      </c>
      <c r="W56" s="71" t="e">
        <f t="shared" si="28"/>
        <v>#VALUE!</v>
      </c>
      <c r="X56" s="56">
        <f t="shared" si="4"/>
        <v>24.289368044475758</v>
      </c>
      <c r="Y56" s="66">
        <v>1.5</v>
      </c>
      <c r="Z56" s="66">
        <v>0.5</v>
      </c>
      <c r="AA56" s="66">
        <v>0.5</v>
      </c>
      <c r="AB56" s="56" t="e">
        <f t="shared" si="10"/>
        <v>#VALUE!</v>
      </c>
      <c r="AC56" s="73" t="e">
        <f t="shared" si="5"/>
        <v>#VALUE!</v>
      </c>
      <c r="AD56" s="56" t="e">
        <f t="shared" si="25"/>
        <v>#VALUE!</v>
      </c>
      <c r="AE56" s="48" t="e">
        <f t="shared" si="6"/>
        <v>#VALUE!</v>
      </c>
      <c r="AF56" s="72">
        <f t="shared" si="26"/>
        <v>5.1111111111111107</v>
      </c>
      <c r="AG56" s="72" t="e">
        <f t="shared" si="7"/>
        <v>#VALUE!</v>
      </c>
      <c r="AH56" s="72" t="e">
        <f t="shared" si="11"/>
        <v>#VALUE!</v>
      </c>
    </row>
    <row r="57" spans="1:34" x14ac:dyDescent="0.35">
      <c r="A57" s="63">
        <f t="shared" si="12"/>
        <v>-22</v>
      </c>
      <c r="B57" s="55">
        <f t="shared" si="0"/>
        <v>381.06666666666581</v>
      </c>
      <c r="C57" s="55" t="e">
        <f t="shared" si="8"/>
        <v>#VALUE!</v>
      </c>
      <c r="D57" s="55" t="e">
        <f t="shared" ref="D57:D88" si="29">C57-$F$18*$N$10</f>
        <v>#VALUE!</v>
      </c>
      <c r="E57" s="74" t="e">
        <f t="shared" si="13"/>
        <v>#VALUE!</v>
      </c>
      <c r="F57" s="60">
        <f t="shared" si="14"/>
        <v>0.5</v>
      </c>
      <c r="G57" s="66">
        <v>33.25</v>
      </c>
      <c r="H57" s="56" t="e">
        <f t="shared" si="2"/>
        <v>#VALUE!</v>
      </c>
      <c r="I57" s="55" t="e">
        <f t="shared" si="15"/>
        <v>#VALUE!</v>
      </c>
      <c r="J57" s="75">
        <f t="shared" si="16"/>
        <v>0.6</v>
      </c>
      <c r="K57" s="64">
        <f t="shared" si="17"/>
        <v>4489.8300000000017</v>
      </c>
      <c r="L57" s="64">
        <f t="shared" si="18"/>
        <v>4458.760000000002</v>
      </c>
      <c r="M57" s="56" t="e">
        <f t="shared" si="19"/>
        <v>#VALUE!</v>
      </c>
      <c r="N57" s="56" t="e">
        <f t="shared" si="20"/>
        <v>#VALUE!</v>
      </c>
      <c r="O57" s="69" t="e">
        <f t="shared" si="21"/>
        <v>#VALUE!</v>
      </c>
      <c r="P57" s="45" t="e">
        <f t="shared" si="22"/>
        <v>#VALUE!</v>
      </c>
      <c r="Q57" s="45" t="e">
        <f t="shared" si="23"/>
        <v>#VALUE!</v>
      </c>
      <c r="R57" s="45" t="e">
        <f t="shared" si="27"/>
        <v>#VALUE!</v>
      </c>
      <c r="S57" s="52">
        <v>31.07</v>
      </c>
      <c r="T57" s="56" t="e">
        <f t="shared" si="24"/>
        <v>#VALUE!</v>
      </c>
      <c r="U57" s="56" t="e">
        <f t="shared" si="9"/>
        <v>#VALUE!</v>
      </c>
      <c r="V57" s="56" t="e">
        <f t="shared" si="3"/>
        <v>#VALUE!</v>
      </c>
      <c r="W57" s="71" t="e">
        <f t="shared" si="28"/>
        <v>#VALUE!</v>
      </c>
      <c r="X57" s="56">
        <f t="shared" si="4"/>
        <v>24.689945321932168</v>
      </c>
      <c r="Y57" s="66">
        <v>1.5</v>
      </c>
      <c r="Z57" s="66">
        <v>0.5</v>
      </c>
      <c r="AA57" s="66">
        <v>0.5</v>
      </c>
      <c r="AB57" s="56" t="e">
        <f t="shared" si="10"/>
        <v>#VALUE!</v>
      </c>
      <c r="AC57" s="73" t="e">
        <f t="shared" si="5"/>
        <v>#VALUE!</v>
      </c>
      <c r="AD57" s="56" t="e">
        <f t="shared" si="25"/>
        <v>#VALUE!</v>
      </c>
      <c r="AE57" s="48" t="e">
        <f t="shared" si="6"/>
        <v>#VALUE!</v>
      </c>
      <c r="AF57" s="72">
        <f t="shared" si="26"/>
        <v>5.1111111111111107</v>
      </c>
      <c r="AG57" s="72" t="e">
        <f t="shared" si="7"/>
        <v>#VALUE!</v>
      </c>
      <c r="AH57" s="72" t="e">
        <f t="shared" si="11"/>
        <v>#VALUE!</v>
      </c>
    </row>
    <row r="58" spans="1:34" x14ac:dyDescent="0.35">
      <c r="A58" s="63">
        <f t="shared" si="12"/>
        <v>-23</v>
      </c>
      <c r="B58" s="55">
        <f t="shared" si="0"/>
        <v>375.55555555555475</v>
      </c>
      <c r="C58" s="55" t="e">
        <f t="shared" ref="C58:C89" si="30">C57-((AF57+$F$18)*$N$10)</f>
        <v>#VALUE!</v>
      </c>
      <c r="D58" s="55" t="e">
        <f t="shared" si="29"/>
        <v>#VALUE!</v>
      </c>
      <c r="E58" s="74" t="e">
        <f t="shared" si="13"/>
        <v>#VALUE!</v>
      </c>
      <c r="F58" s="60">
        <f t="shared" si="14"/>
        <v>0.5</v>
      </c>
      <c r="G58" s="66">
        <v>34.25</v>
      </c>
      <c r="H58" s="56" t="e">
        <f t="shared" si="2"/>
        <v>#VALUE!</v>
      </c>
      <c r="I58" s="55" t="e">
        <f t="shared" si="15"/>
        <v>#VALUE!</v>
      </c>
      <c r="J58" s="75">
        <f t="shared" si="16"/>
        <v>0.6</v>
      </c>
      <c r="K58" s="64">
        <f t="shared" si="17"/>
        <v>4458.760000000002</v>
      </c>
      <c r="L58" s="64">
        <f t="shared" si="18"/>
        <v>4426.6900000000023</v>
      </c>
      <c r="M58" s="56" t="e">
        <f t="shared" si="19"/>
        <v>#VALUE!</v>
      </c>
      <c r="N58" s="56" t="e">
        <f t="shared" si="20"/>
        <v>#VALUE!</v>
      </c>
      <c r="O58" s="69" t="e">
        <f t="shared" si="21"/>
        <v>#VALUE!</v>
      </c>
      <c r="P58" s="45" t="e">
        <f t="shared" si="22"/>
        <v>#VALUE!</v>
      </c>
      <c r="Q58" s="45" t="e">
        <f t="shared" si="23"/>
        <v>#VALUE!</v>
      </c>
      <c r="R58" s="45" t="e">
        <f t="shared" si="27"/>
        <v>#VALUE!</v>
      </c>
      <c r="S58" s="52">
        <v>32.07</v>
      </c>
      <c r="T58" s="56" t="e">
        <f t="shared" si="24"/>
        <v>#VALUE!</v>
      </c>
      <c r="U58" s="56" t="e">
        <f t="shared" si="9"/>
        <v>#VALUE!</v>
      </c>
      <c r="V58" s="56" t="e">
        <f t="shared" si="3"/>
        <v>#VALUE!</v>
      </c>
      <c r="W58" s="71" t="e">
        <f t="shared" si="28"/>
        <v>#VALUE!</v>
      </c>
      <c r="X58" s="56">
        <f t="shared" si="4"/>
        <v>25.084126454792084</v>
      </c>
      <c r="Y58" s="66">
        <v>1.5</v>
      </c>
      <c r="Z58" s="66">
        <v>0.5</v>
      </c>
      <c r="AA58" s="66">
        <v>0.5</v>
      </c>
      <c r="AB58" s="56" t="e">
        <f t="shared" si="10"/>
        <v>#VALUE!</v>
      </c>
      <c r="AC58" s="73" t="e">
        <f t="shared" si="5"/>
        <v>#VALUE!</v>
      </c>
      <c r="AD58" s="56" t="e">
        <f t="shared" si="25"/>
        <v>#VALUE!</v>
      </c>
      <c r="AE58" s="48" t="e">
        <f t="shared" si="6"/>
        <v>#VALUE!</v>
      </c>
      <c r="AF58" s="72">
        <f t="shared" si="26"/>
        <v>5.1111111111111107</v>
      </c>
      <c r="AG58" s="72" t="e">
        <f t="shared" si="7"/>
        <v>#VALUE!</v>
      </c>
      <c r="AH58" s="72" t="e">
        <f t="shared" si="11"/>
        <v>#VALUE!</v>
      </c>
    </row>
    <row r="59" spans="1:34" x14ac:dyDescent="0.35">
      <c r="A59" s="63">
        <f t="shared" si="12"/>
        <v>-24</v>
      </c>
      <c r="B59" s="55">
        <f t="shared" si="0"/>
        <v>370.04444444444368</v>
      </c>
      <c r="C59" s="55" t="e">
        <f t="shared" si="30"/>
        <v>#VALUE!</v>
      </c>
      <c r="D59" s="55" t="e">
        <f t="shared" si="29"/>
        <v>#VALUE!</v>
      </c>
      <c r="E59" s="74" t="e">
        <f t="shared" si="13"/>
        <v>#VALUE!</v>
      </c>
      <c r="F59" s="60">
        <f t="shared" si="14"/>
        <v>0.5</v>
      </c>
      <c r="G59" s="66">
        <v>35.25</v>
      </c>
      <c r="H59" s="56" t="e">
        <f t="shared" si="2"/>
        <v>#VALUE!</v>
      </c>
      <c r="I59" s="55" t="e">
        <f t="shared" si="15"/>
        <v>#VALUE!</v>
      </c>
      <c r="J59" s="75">
        <f t="shared" si="16"/>
        <v>0.6</v>
      </c>
      <c r="K59" s="64">
        <f t="shared" si="17"/>
        <v>4426.6900000000023</v>
      </c>
      <c r="L59" s="64">
        <f t="shared" si="18"/>
        <v>4393.6200000000026</v>
      </c>
      <c r="M59" s="56" t="e">
        <f t="shared" si="19"/>
        <v>#VALUE!</v>
      </c>
      <c r="N59" s="56" t="e">
        <f t="shared" si="20"/>
        <v>#VALUE!</v>
      </c>
      <c r="O59" s="69" t="e">
        <f t="shared" si="21"/>
        <v>#VALUE!</v>
      </c>
      <c r="P59" s="45" t="e">
        <f t="shared" si="22"/>
        <v>#VALUE!</v>
      </c>
      <c r="Q59" s="45" t="e">
        <f t="shared" si="23"/>
        <v>#VALUE!</v>
      </c>
      <c r="R59" s="45" t="e">
        <f t="shared" si="27"/>
        <v>#VALUE!</v>
      </c>
      <c r="S59" s="52">
        <v>33.07</v>
      </c>
      <c r="T59" s="56" t="e">
        <f t="shared" si="24"/>
        <v>#VALUE!</v>
      </c>
      <c r="U59" s="56" t="e">
        <f t="shared" si="9"/>
        <v>#VALUE!</v>
      </c>
      <c r="V59" s="56" t="e">
        <f t="shared" si="3"/>
        <v>#VALUE!</v>
      </c>
      <c r="W59" s="71" t="e">
        <f t="shared" si="28"/>
        <v>#VALUE!</v>
      </c>
      <c r="X59" s="56">
        <f t="shared" si="4"/>
        <v>25.472208384826001</v>
      </c>
      <c r="Y59" s="66">
        <v>1.5</v>
      </c>
      <c r="Z59" s="66">
        <v>0.5</v>
      </c>
      <c r="AA59" s="66">
        <v>0.5</v>
      </c>
      <c r="AB59" s="56" t="e">
        <f t="shared" si="10"/>
        <v>#VALUE!</v>
      </c>
      <c r="AC59" s="73" t="e">
        <f t="shared" si="5"/>
        <v>#VALUE!</v>
      </c>
      <c r="AD59" s="56" t="e">
        <f t="shared" si="25"/>
        <v>#VALUE!</v>
      </c>
      <c r="AE59" s="48" t="e">
        <f t="shared" si="6"/>
        <v>#VALUE!</v>
      </c>
      <c r="AF59" s="72">
        <f t="shared" si="26"/>
        <v>5.1111111111111107</v>
      </c>
      <c r="AG59" s="72" t="e">
        <f t="shared" si="7"/>
        <v>#VALUE!</v>
      </c>
      <c r="AH59" s="72" t="e">
        <f t="shared" si="11"/>
        <v>#VALUE!</v>
      </c>
    </row>
    <row r="60" spans="1:34" x14ac:dyDescent="0.35">
      <c r="A60" s="63">
        <f t="shared" si="12"/>
        <v>-25</v>
      </c>
      <c r="B60" s="55">
        <f t="shared" si="0"/>
        <v>364.53333333333262</v>
      </c>
      <c r="C60" s="55" t="e">
        <f t="shared" si="30"/>
        <v>#VALUE!</v>
      </c>
      <c r="D60" s="55" t="e">
        <f t="shared" si="29"/>
        <v>#VALUE!</v>
      </c>
      <c r="E60" s="74" t="e">
        <f t="shared" si="13"/>
        <v>#VALUE!</v>
      </c>
      <c r="F60" s="60">
        <f t="shared" si="14"/>
        <v>0.5</v>
      </c>
      <c r="G60" s="66">
        <v>36.25</v>
      </c>
      <c r="H60" s="56" t="e">
        <f t="shared" si="2"/>
        <v>#VALUE!</v>
      </c>
      <c r="I60" s="55" t="e">
        <f t="shared" si="15"/>
        <v>#VALUE!</v>
      </c>
      <c r="J60" s="75">
        <f t="shared" si="16"/>
        <v>0.6</v>
      </c>
      <c r="K60" s="64">
        <f t="shared" si="17"/>
        <v>4393.6200000000026</v>
      </c>
      <c r="L60" s="64">
        <f t="shared" si="18"/>
        <v>4359.5500000000029</v>
      </c>
      <c r="M60" s="56" t="e">
        <f t="shared" si="19"/>
        <v>#VALUE!</v>
      </c>
      <c r="N60" s="56" t="e">
        <f t="shared" si="20"/>
        <v>#VALUE!</v>
      </c>
      <c r="O60" s="69" t="e">
        <f t="shared" si="21"/>
        <v>#VALUE!</v>
      </c>
      <c r="P60" s="45" t="e">
        <f t="shared" si="22"/>
        <v>#VALUE!</v>
      </c>
      <c r="Q60" s="45" t="e">
        <f t="shared" si="23"/>
        <v>#VALUE!</v>
      </c>
      <c r="R60" s="45" t="e">
        <f t="shared" si="27"/>
        <v>#VALUE!</v>
      </c>
      <c r="S60" s="52">
        <v>34.07</v>
      </c>
      <c r="T60" s="56" t="e">
        <f t="shared" si="24"/>
        <v>#VALUE!</v>
      </c>
      <c r="U60" s="56" t="e">
        <f t="shared" si="9"/>
        <v>#VALUE!</v>
      </c>
      <c r="V60" s="56" t="e">
        <f t="shared" si="3"/>
        <v>#VALUE!</v>
      </c>
      <c r="W60" s="71" t="e">
        <f t="shared" si="28"/>
        <v>#VALUE!</v>
      </c>
      <c r="X60" s="56">
        <f t="shared" si="4"/>
        <v>25.854465765124601</v>
      </c>
      <c r="Y60" s="66">
        <v>1.5</v>
      </c>
      <c r="Z60" s="66">
        <v>0.5</v>
      </c>
      <c r="AA60" s="66">
        <v>0.5</v>
      </c>
      <c r="AB60" s="56" t="e">
        <f t="shared" si="10"/>
        <v>#VALUE!</v>
      </c>
      <c r="AC60" s="73" t="e">
        <f t="shared" si="5"/>
        <v>#VALUE!</v>
      </c>
      <c r="AD60" s="56" t="e">
        <f t="shared" si="25"/>
        <v>#VALUE!</v>
      </c>
      <c r="AE60" s="48" t="e">
        <f t="shared" si="6"/>
        <v>#VALUE!</v>
      </c>
      <c r="AF60" s="72">
        <f t="shared" si="26"/>
        <v>5.1111111111111107</v>
      </c>
      <c r="AG60" s="72" t="e">
        <f t="shared" si="7"/>
        <v>#VALUE!</v>
      </c>
      <c r="AH60" s="72" t="e">
        <f t="shared" si="11"/>
        <v>#VALUE!</v>
      </c>
    </row>
    <row r="61" spans="1:34" x14ac:dyDescent="0.35">
      <c r="A61" s="63">
        <f t="shared" si="12"/>
        <v>-26</v>
      </c>
      <c r="B61" s="55">
        <f t="shared" si="0"/>
        <v>359.02222222222156</v>
      </c>
      <c r="C61" s="55" t="e">
        <f t="shared" si="30"/>
        <v>#VALUE!</v>
      </c>
      <c r="D61" s="55" t="e">
        <f t="shared" si="29"/>
        <v>#VALUE!</v>
      </c>
      <c r="E61" s="74" t="e">
        <f t="shared" si="13"/>
        <v>#VALUE!</v>
      </c>
      <c r="F61" s="60">
        <f t="shared" si="14"/>
        <v>0.5</v>
      </c>
      <c r="G61" s="66">
        <v>37.25</v>
      </c>
      <c r="H61" s="56" t="e">
        <f t="shared" si="2"/>
        <v>#VALUE!</v>
      </c>
      <c r="I61" s="55" t="e">
        <f t="shared" si="15"/>
        <v>#VALUE!</v>
      </c>
      <c r="J61" s="75">
        <f t="shared" si="16"/>
        <v>0.6</v>
      </c>
      <c r="K61" s="64">
        <f t="shared" si="17"/>
        <v>4359.5500000000029</v>
      </c>
      <c r="L61" s="64">
        <f t="shared" si="18"/>
        <v>4324.4800000000032</v>
      </c>
      <c r="M61" s="56" t="e">
        <f t="shared" si="19"/>
        <v>#VALUE!</v>
      </c>
      <c r="N61" s="56" t="e">
        <f t="shared" si="20"/>
        <v>#VALUE!</v>
      </c>
      <c r="O61" s="69" t="e">
        <f t="shared" si="21"/>
        <v>#VALUE!</v>
      </c>
      <c r="P61" s="45" t="e">
        <f t="shared" si="22"/>
        <v>#VALUE!</v>
      </c>
      <c r="Q61" s="45" t="e">
        <f t="shared" si="23"/>
        <v>#VALUE!</v>
      </c>
      <c r="R61" s="45" t="e">
        <f t="shared" si="27"/>
        <v>#VALUE!</v>
      </c>
      <c r="S61" s="52">
        <v>35.07</v>
      </c>
      <c r="T61" s="56" t="e">
        <f t="shared" si="24"/>
        <v>#VALUE!</v>
      </c>
      <c r="U61" s="56" t="e">
        <f t="shared" si="9"/>
        <v>#VALUE!</v>
      </c>
      <c r="V61" s="56" t="e">
        <f t="shared" si="3"/>
        <v>#VALUE!</v>
      </c>
      <c r="W61" s="71" t="e">
        <f t="shared" si="28"/>
        <v>#VALUE!</v>
      </c>
      <c r="X61" s="56">
        <f t="shared" si="4"/>
        <v>26.2311532342747</v>
      </c>
      <c r="Y61" s="66">
        <v>1.5</v>
      </c>
      <c r="Z61" s="66">
        <v>0.5</v>
      </c>
      <c r="AA61" s="66">
        <v>0.5</v>
      </c>
      <c r="AB61" s="56" t="e">
        <f t="shared" si="10"/>
        <v>#VALUE!</v>
      </c>
      <c r="AC61" s="73" t="e">
        <f t="shared" si="5"/>
        <v>#VALUE!</v>
      </c>
      <c r="AD61" s="56" t="e">
        <f t="shared" si="25"/>
        <v>#VALUE!</v>
      </c>
      <c r="AE61" s="48" t="e">
        <f t="shared" si="6"/>
        <v>#VALUE!</v>
      </c>
      <c r="AF61" s="72">
        <f t="shared" si="26"/>
        <v>5.1111111111111107</v>
      </c>
      <c r="AG61" s="72" t="e">
        <f t="shared" si="7"/>
        <v>#VALUE!</v>
      </c>
      <c r="AH61" s="72" t="e">
        <f t="shared" si="11"/>
        <v>#VALUE!</v>
      </c>
    </row>
    <row r="62" spans="1:34" x14ac:dyDescent="0.35">
      <c r="A62" s="63">
        <f t="shared" si="12"/>
        <v>-27</v>
      </c>
      <c r="B62" s="55">
        <f t="shared" si="0"/>
        <v>353.51111111111049</v>
      </c>
      <c r="C62" s="55" t="e">
        <f t="shared" si="30"/>
        <v>#VALUE!</v>
      </c>
      <c r="D62" s="55" t="e">
        <f t="shared" si="29"/>
        <v>#VALUE!</v>
      </c>
      <c r="E62" s="74" t="e">
        <f t="shared" si="13"/>
        <v>#VALUE!</v>
      </c>
      <c r="F62" s="60">
        <f t="shared" si="14"/>
        <v>0.5</v>
      </c>
      <c r="G62" s="66">
        <v>38.25</v>
      </c>
      <c r="H62" s="56" t="e">
        <f t="shared" si="2"/>
        <v>#VALUE!</v>
      </c>
      <c r="I62" s="55" t="e">
        <f t="shared" si="15"/>
        <v>#VALUE!</v>
      </c>
      <c r="J62" s="75">
        <f t="shared" si="16"/>
        <v>0.6</v>
      </c>
      <c r="K62" s="64">
        <f t="shared" si="17"/>
        <v>4324.4800000000032</v>
      </c>
      <c r="L62" s="64">
        <f t="shared" si="18"/>
        <v>4288.4100000000035</v>
      </c>
      <c r="M62" s="56" t="e">
        <f t="shared" si="19"/>
        <v>#VALUE!</v>
      </c>
      <c r="N62" s="56" t="e">
        <f t="shared" si="20"/>
        <v>#VALUE!</v>
      </c>
      <c r="O62" s="69" t="e">
        <f t="shared" si="21"/>
        <v>#VALUE!</v>
      </c>
      <c r="P62" s="45" t="e">
        <f t="shared" si="22"/>
        <v>#VALUE!</v>
      </c>
      <c r="Q62" s="45" t="e">
        <f t="shared" si="23"/>
        <v>#VALUE!</v>
      </c>
      <c r="R62" s="45" t="e">
        <f t="shared" si="27"/>
        <v>#VALUE!</v>
      </c>
      <c r="S62" s="52">
        <v>36.07</v>
      </c>
      <c r="T62" s="56" t="e">
        <f t="shared" si="24"/>
        <v>#VALUE!</v>
      </c>
      <c r="U62" s="56" t="e">
        <f t="shared" si="9"/>
        <v>#VALUE!</v>
      </c>
      <c r="V62" s="56" t="e">
        <f t="shared" si="3"/>
        <v>#VALUE!</v>
      </c>
      <c r="W62" s="71" t="e">
        <f t="shared" si="28"/>
        <v>#VALUE!</v>
      </c>
      <c r="X62" s="56">
        <f t="shared" si="4"/>
        <v>26.602507400619213</v>
      </c>
      <c r="Y62" s="66">
        <v>1.5</v>
      </c>
      <c r="Z62" s="66">
        <v>0.5</v>
      </c>
      <c r="AA62" s="66">
        <v>0.5</v>
      </c>
      <c r="AB62" s="56" t="e">
        <f t="shared" si="10"/>
        <v>#VALUE!</v>
      </c>
      <c r="AC62" s="73" t="e">
        <f t="shared" si="5"/>
        <v>#VALUE!</v>
      </c>
      <c r="AD62" s="56" t="e">
        <f t="shared" si="25"/>
        <v>#VALUE!</v>
      </c>
      <c r="AE62" s="48" t="e">
        <f t="shared" si="6"/>
        <v>#VALUE!</v>
      </c>
      <c r="AF62" s="72">
        <f t="shared" si="26"/>
        <v>5.1111111111111107</v>
      </c>
      <c r="AG62" s="72" t="e">
        <f t="shared" si="7"/>
        <v>#VALUE!</v>
      </c>
      <c r="AH62" s="72" t="e">
        <f t="shared" si="11"/>
        <v>#VALUE!</v>
      </c>
    </row>
    <row r="63" spans="1:34" x14ac:dyDescent="0.35">
      <c r="A63" s="63">
        <f t="shared" si="12"/>
        <v>-28</v>
      </c>
      <c r="B63" s="55">
        <f t="shared" si="0"/>
        <v>347.99999999999943</v>
      </c>
      <c r="C63" s="55" t="e">
        <f t="shared" si="30"/>
        <v>#VALUE!</v>
      </c>
      <c r="D63" s="55" t="e">
        <f t="shared" si="29"/>
        <v>#VALUE!</v>
      </c>
      <c r="E63" s="74" t="e">
        <f t="shared" si="13"/>
        <v>#VALUE!</v>
      </c>
      <c r="F63" s="60">
        <f t="shared" si="14"/>
        <v>0.5</v>
      </c>
      <c r="G63" s="66">
        <v>39.25</v>
      </c>
      <c r="H63" s="56" t="e">
        <f t="shared" si="2"/>
        <v>#VALUE!</v>
      </c>
      <c r="I63" s="55" t="e">
        <f t="shared" si="15"/>
        <v>#VALUE!</v>
      </c>
      <c r="J63" s="75">
        <f t="shared" si="16"/>
        <v>0.6</v>
      </c>
      <c r="K63" s="64">
        <f t="shared" si="17"/>
        <v>4288.4100000000035</v>
      </c>
      <c r="L63" s="64">
        <f t="shared" si="18"/>
        <v>4251.3400000000038</v>
      </c>
      <c r="M63" s="56" t="e">
        <f t="shared" si="19"/>
        <v>#VALUE!</v>
      </c>
      <c r="N63" s="56" t="e">
        <f t="shared" si="20"/>
        <v>#VALUE!</v>
      </c>
      <c r="O63" s="69" t="e">
        <f t="shared" si="21"/>
        <v>#VALUE!</v>
      </c>
      <c r="P63" s="45" t="e">
        <f t="shared" si="22"/>
        <v>#VALUE!</v>
      </c>
      <c r="Q63" s="45" t="e">
        <f t="shared" si="23"/>
        <v>#VALUE!</v>
      </c>
      <c r="R63" s="45" t="e">
        <f t="shared" si="27"/>
        <v>#VALUE!</v>
      </c>
      <c r="S63" s="52">
        <v>37.07</v>
      </c>
      <c r="T63" s="56" t="e">
        <f t="shared" si="24"/>
        <v>#VALUE!</v>
      </c>
      <c r="U63" s="56" t="e">
        <f t="shared" si="9"/>
        <v>#VALUE!</v>
      </c>
      <c r="V63" s="56" t="e">
        <f t="shared" si="3"/>
        <v>#VALUE!</v>
      </c>
      <c r="W63" s="71" t="e">
        <f t="shared" si="28"/>
        <v>#VALUE!</v>
      </c>
      <c r="X63" s="56">
        <f t="shared" si="4"/>
        <v>26.968748580532989</v>
      </c>
      <c r="Y63" s="66">
        <v>1.5</v>
      </c>
      <c r="Z63" s="66">
        <v>0.5</v>
      </c>
      <c r="AA63" s="66">
        <v>0.5</v>
      </c>
      <c r="AB63" s="56" t="e">
        <f t="shared" si="10"/>
        <v>#VALUE!</v>
      </c>
      <c r="AC63" s="73" t="e">
        <f t="shared" si="5"/>
        <v>#VALUE!</v>
      </c>
      <c r="AD63" s="56" t="e">
        <f t="shared" si="25"/>
        <v>#VALUE!</v>
      </c>
      <c r="AE63" s="48" t="e">
        <f t="shared" si="6"/>
        <v>#VALUE!</v>
      </c>
      <c r="AF63" s="72">
        <f t="shared" si="26"/>
        <v>5.1111111111111107</v>
      </c>
      <c r="AG63" s="72" t="e">
        <f t="shared" si="7"/>
        <v>#VALUE!</v>
      </c>
      <c r="AH63" s="72" t="e">
        <f t="shared" si="11"/>
        <v>#VALUE!</v>
      </c>
    </row>
    <row r="64" spans="1:34" x14ac:dyDescent="0.35">
      <c r="A64" s="63">
        <f t="shared" si="12"/>
        <v>-29</v>
      </c>
      <c r="B64" s="55">
        <f t="shared" si="0"/>
        <v>342.48888888888837</v>
      </c>
      <c r="C64" s="55" t="e">
        <f t="shared" si="30"/>
        <v>#VALUE!</v>
      </c>
      <c r="D64" s="55" t="e">
        <f t="shared" si="29"/>
        <v>#VALUE!</v>
      </c>
      <c r="E64" s="74" t="e">
        <f t="shared" si="13"/>
        <v>#VALUE!</v>
      </c>
      <c r="F64" s="60">
        <f t="shared" si="14"/>
        <v>0.5</v>
      </c>
      <c r="G64" s="66">
        <v>40.25</v>
      </c>
      <c r="H64" s="56" t="e">
        <f t="shared" si="2"/>
        <v>#VALUE!</v>
      </c>
      <c r="I64" s="55" t="e">
        <f t="shared" si="15"/>
        <v>#VALUE!</v>
      </c>
      <c r="J64" s="75">
        <f t="shared" si="16"/>
        <v>0.6</v>
      </c>
      <c r="K64" s="64">
        <f t="shared" si="17"/>
        <v>4251.3400000000038</v>
      </c>
      <c r="L64" s="64">
        <f t="shared" si="18"/>
        <v>4213.2700000000041</v>
      </c>
      <c r="M64" s="56" t="e">
        <f t="shared" si="19"/>
        <v>#VALUE!</v>
      </c>
      <c r="N64" s="56" t="e">
        <f t="shared" si="20"/>
        <v>#VALUE!</v>
      </c>
      <c r="O64" s="69" t="e">
        <f t="shared" si="21"/>
        <v>#VALUE!</v>
      </c>
      <c r="P64" s="45" t="e">
        <f t="shared" si="22"/>
        <v>#VALUE!</v>
      </c>
      <c r="Q64" s="45" t="e">
        <f t="shared" si="23"/>
        <v>#VALUE!</v>
      </c>
      <c r="R64" s="45" t="e">
        <f t="shared" si="27"/>
        <v>#VALUE!</v>
      </c>
      <c r="S64" s="52">
        <v>38.07</v>
      </c>
      <c r="T64" s="56" t="e">
        <f t="shared" si="24"/>
        <v>#VALUE!</v>
      </c>
      <c r="U64" s="56" t="e">
        <f t="shared" si="9"/>
        <v>#VALUE!</v>
      </c>
      <c r="V64" s="56" t="e">
        <f t="shared" si="3"/>
        <v>#VALUE!</v>
      </c>
      <c r="W64" s="71" t="e">
        <f t="shared" si="28"/>
        <v>#VALUE!</v>
      </c>
      <c r="X64" s="56">
        <f t="shared" si="4"/>
        <v>27.330082326989064</v>
      </c>
      <c r="Y64" s="66">
        <v>1.5</v>
      </c>
      <c r="Z64" s="66">
        <v>0.5</v>
      </c>
      <c r="AA64" s="66">
        <v>0.5</v>
      </c>
      <c r="AB64" s="56" t="e">
        <f t="shared" si="10"/>
        <v>#VALUE!</v>
      </c>
      <c r="AC64" s="73" t="e">
        <f t="shared" si="5"/>
        <v>#VALUE!</v>
      </c>
      <c r="AD64" s="56" t="e">
        <f t="shared" si="25"/>
        <v>#VALUE!</v>
      </c>
      <c r="AE64" s="48" t="e">
        <f t="shared" si="6"/>
        <v>#VALUE!</v>
      </c>
      <c r="AF64" s="72">
        <f t="shared" si="26"/>
        <v>5.1111111111111107</v>
      </c>
      <c r="AG64" s="72" t="e">
        <f t="shared" si="7"/>
        <v>#VALUE!</v>
      </c>
      <c r="AH64" s="72" t="e">
        <f t="shared" si="11"/>
        <v>#VALUE!</v>
      </c>
    </row>
    <row r="65" spans="1:34" x14ac:dyDescent="0.35">
      <c r="A65" s="63">
        <f t="shared" si="12"/>
        <v>-30</v>
      </c>
      <c r="B65" s="55">
        <f t="shared" si="0"/>
        <v>336.97777777777731</v>
      </c>
      <c r="C65" s="55" t="e">
        <f t="shared" si="30"/>
        <v>#VALUE!</v>
      </c>
      <c r="D65" s="55" t="e">
        <f t="shared" si="29"/>
        <v>#VALUE!</v>
      </c>
      <c r="E65" s="74" t="e">
        <f t="shared" si="13"/>
        <v>#VALUE!</v>
      </c>
      <c r="F65" s="60">
        <f t="shared" si="14"/>
        <v>0.5</v>
      </c>
      <c r="G65" s="66">
        <v>41.25</v>
      </c>
      <c r="H65" s="56" t="e">
        <f t="shared" si="2"/>
        <v>#VALUE!</v>
      </c>
      <c r="I65" s="55" t="e">
        <f t="shared" si="15"/>
        <v>#VALUE!</v>
      </c>
      <c r="J65" s="75">
        <f t="shared" si="16"/>
        <v>0.6</v>
      </c>
      <c r="K65" s="64">
        <f t="shared" si="17"/>
        <v>4213.2700000000041</v>
      </c>
      <c r="L65" s="64">
        <f t="shared" si="18"/>
        <v>4174.2000000000044</v>
      </c>
      <c r="M65" s="56" t="e">
        <f t="shared" si="19"/>
        <v>#VALUE!</v>
      </c>
      <c r="N65" s="56" t="e">
        <f t="shared" si="20"/>
        <v>#VALUE!</v>
      </c>
      <c r="O65" s="69" t="e">
        <f t="shared" si="21"/>
        <v>#VALUE!</v>
      </c>
      <c r="P65" s="45" t="e">
        <f t="shared" si="22"/>
        <v>#VALUE!</v>
      </c>
      <c r="Q65" s="45" t="e">
        <f t="shared" si="23"/>
        <v>#VALUE!</v>
      </c>
      <c r="R65" s="45" t="e">
        <f t="shared" si="27"/>
        <v>#VALUE!</v>
      </c>
      <c r="S65" s="52">
        <v>39.07</v>
      </c>
      <c r="T65" s="56" t="e">
        <f t="shared" si="24"/>
        <v>#VALUE!</v>
      </c>
      <c r="U65" s="56" t="e">
        <f t="shared" si="9"/>
        <v>#VALUE!</v>
      </c>
      <c r="V65" s="56" t="e">
        <f t="shared" si="3"/>
        <v>#VALUE!</v>
      </c>
      <c r="W65" s="71" t="e">
        <f t="shared" si="28"/>
        <v>#VALUE!</v>
      </c>
      <c r="X65" s="56">
        <f t="shared" si="4"/>
        <v>27.686700778532643</v>
      </c>
      <c r="Y65" s="66">
        <v>1.5</v>
      </c>
      <c r="Z65" s="66">
        <v>0.5</v>
      </c>
      <c r="AA65" s="66">
        <v>0.5</v>
      </c>
      <c r="AB65" s="56" t="e">
        <f t="shared" si="10"/>
        <v>#VALUE!</v>
      </c>
      <c r="AC65" s="73" t="e">
        <f t="shared" si="5"/>
        <v>#VALUE!</v>
      </c>
      <c r="AD65" s="56" t="e">
        <f t="shared" si="25"/>
        <v>#VALUE!</v>
      </c>
      <c r="AE65" s="48" t="e">
        <f t="shared" si="6"/>
        <v>#VALUE!</v>
      </c>
      <c r="AF65" s="72">
        <f t="shared" si="26"/>
        <v>5.1111111111111107</v>
      </c>
      <c r="AG65" s="72" t="e">
        <f t="shared" si="7"/>
        <v>#VALUE!</v>
      </c>
      <c r="AH65" s="72" t="e">
        <f t="shared" si="11"/>
        <v>#VALUE!</v>
      </c>
    </row>
    <row r="66" spans="1:34" x14ac:dyDescent="0.35">
      <c r="A66" s="63">
        <f t="shared" si="12"/>
        <v>-31</v>
      </c>
      <c r="B66" s="55">
        <f t="shared" si="0"/>
        <v>331.46666666666624</v>
      </c>
      <c r="C66" s="55" t="e">
        <f t="shared" si="30"/>
        <v>#VALUE!</v>
      </c>
      <c r="D66" s="55" t="e">
        <f t="shared" si="29"/>
        <v>#VALUE!</v>
      </c>
      <c r="E66" s="74" t="e">
        <f t="shared" si="13"/>
        <v>#VALUE!</v>
      </c>
      <c r="F66" s="60">
        <f t="shared" si="14"/>
        <v>0.5</v>
      </c>
      <c r="G66" s="66">
        <v>42.25</v>
      </c>
      <c r="H66" s="56" t="e">
        <f t="shared" si="2"/>
        <v>#VALUE!</v>
      </c>
      <c r="I66" s="55" t="e">
        <f t="shared" si="15"/>
        <v>#VALUE!</v>
      </c>
      <c r="J66" s="75">
        <f t="shared" si="16"/>
        <v>0.6</v>
      </c>
      <c r="K66" s="64">
        <f t="shared" si="17"/>
        <v>4174.2000000000044</v>
      </c>
      <c r="L66" s="64">
        <f t="shared" si="18"/>
        <v>4134.1300000000047</v>
      </c>
      <c r="M66" s="56" t="e">
        <f t="shared" si="19"/>
        <v>#VALUE!</v>
      </c>
      <c r="N66" s="56" t="e">
        <f t="shared" si="20"/>
        <v>#VALUE!</v>
      </c>
      <c r="O66" s="69" t="e">
        <f t="shared" si="21"/>
        <v>#VALUE!</v>
      </c>
      <c r="P66" s="45" t="e">
        <f t="shared" si="22"/>
        <v>#VALUE!</v>
      </c>
      <c r="Q66" s="45" t="e">
        <f t="shared" si="23"/>
        <v>#VALUE!</v>
      </c>
      <c r="R66" s="45" t="e">
        <f t="shared" si="27"/>
        <v>#VALUE!</v>
      </c>
      <c r="S66" s="52">
        <v>40.07</v>
      </c>
      <c r="T66" s="56" t="e">
        <f t="shared" si="24"/>
        <v>#VALUE!</v>
      </c>
      <c r="U66" s="56" t="e">
        <f t="shared" si="9"/>
        <v>#VALUE!</v>
      </c>
      <c r="V66" s="56" t="e">
        <f t="shared" si="3"/>
        <v>#VALUE!</v>
      </c>
      <c r="W66" s="71" t="e">
        <f t="shared" si="28"/>
        <v>#VALUE!</v>
      </c>
      <c r="X66" s="56">
        <f t="shared" si="4"/>
        <v>28.038783853797938</v>
      </c>
      <c r="Y66" s="66">
        <v>1.5</v>
      </c>
      <c r="Z66" s="66">
        <v>0.5</v>
      </c>
      <c r="AA66" s="66">
        <v>0.5</v>
      </c>
      <c r="AB66" s="56" t="e">
        <f t="shared" si="10"/>
        <v>#VALUE!</v>
      </c>
      <c r="AC66" s="73" t="e">
        <f t="shared" si="5"/>
        <v>#VALUE!</v>
      </c>
      <c r="AD66" s="56" t="e">
        <f t="shared" si="25"/>
        <v>#VALUE!</v>
      </c>
      <c r="AE66" s="48" t="e">
        <f t="shared" si="6"/>
        <v>#VALUE!</v>
      </c>
      <c r="AF66" s="72">
        <f t="shared" si="26"/>
        <v>5.1111111111111107</v>
      </c>
      <c r="AG66" s="72" t="e">
        <f t="shared" si="7"/>
        <v>#VALUE!</v>
      </c>
      <c r="AH66" s="72" t="e">
        <f t="shared" si="11"/>
        <v>#VALUE!</v>
      </c>
    </row>
    <row r="67" spans="1:34" x14ac:dyDescent="0.35">
      <c r="A67" s="63">
        <f t="shared" si="12"/>
        <v>-32</v>
      </c>
      <c r="B67" s="55">
        <f t="shared" si="0"/>
        <v>325.95555555555518</v>
      </c>
      <c r="C67" s="55" t="e">
        <f t="shared" si="30"/>
        <v>#VALUE!</v>
      </c>
      <c r="D67" s="55" t="e">
        <f t="shared" si="29"/>
        <v>#VALUE!</v>
      </c>
      <c r="E67" s="74" t="e">
        <f t="shared" si="13"/>
        <v>#VALUE!</v>
      </c>
      <c r="F67" s="60">
        <f t="shared" si="14"/>
        <v>0.5</v>
      </c>
      <c r="G67" s="66">
        <v>43.25</v>
      </c>
      <c r="H67" s="56" t="e">
        <f t="shared" si="2"/>
        <v>#VALUE!</v>
      </c>
      <c r="I67" s="55" t="e">
        <f t="shared" si="15"/>
        <v>#VALUE!</v>
      </c>
      <c r="J67" s="75">
        <f t="shared" si="16"/>
        <v>0.6</v>
      </c>
      <c r="K67" s="64">
        <f t="shared" si="17"/>
        <v>4134.1300000000047</v>
      </c>
      <c r="L67" s="64">
        <f t="shared" si="18"/>
        <v>4093.0600000000045</v>
      </c>
      <c r="M67" s="56" t="e">
        <f t="shared" si="19"/>
        <v>#VALUE!</v>
      </c>
      <c r="N67" s="56" t="e">
        <f t="shared" si="20"/>
        <v>#VALUE!</v>
      </c>
      <c r="O67" s="69" t="e">
        <f t="shared" si="21"/>
        <v>#VALUE!</v>
      </c>
      <c r="P67" s="45" t="e">
        <f t="shared" si="22"/>
        <v>#VALUE!</v>
      </c>
      <c r="Q67" s="45" t="e">
        <f t="shared" si="23"/>
        <v>#VALUE!</v>
      </c>
      <c r="R67" s="45" t="e">
        <f t="shared" si="27"/>
        <v>#VALUE!</v>
      </c>
      <c r="S67" s="52">
        <v>41.07</v>
      </c>
      <c r="T67" s="56" t="e">
        <f t="shared" si="24"/>
        <v>#VALUE!</v>
      </c>
      <c r="U67" s="56" t="e">
        <f t="shared" si="9"/>
        <v>#VALUE!</v>
      </c>
      <c r="V67" s="56" t="e">
        <f t="shared" si="3"/>
        <v>#VALUE!</v>
      </c>
      <c r="W67" s="71" t="e">
        <f t="shared" si="28"/>
        <v>#VALUE!</v>
      </c>
      <c r="X67" s="56">
        <f t="shared" si="4"/>
        <v>28.386500312648618</v>
      </c>
      <c r="Y67" s="66">
        <v>1.5</v>
      </c>
      <c r="Z67" s="66">
        <v>0.5</v>
      </c>
      <c r="AA67" s="66">
        <v>0.5</v>
      </c>
      <c r="AB67" s="56" t="e">
        <f t="shared" si="10"/>
        <v>#VALUE!</v>
      </c>
      <c r="AC67" s="73" t="e">
        <f t="shared" si="5"/>
        <v>#VALUE!</v>
      </c>
      <c r="AD67" s="56" t="e">
        <f t="shared" si="25"/>
        <v>#VALUE!</v>
      </c>
      <c r="AE67" s="48" t="e">
        <f t="shared" si="6"/>
        <v>#VALUE!</v>
      </c>
      <c r="AF67" s="72">
        <f t="shared" si="26"/>
        <v>5.1111111111111107</v>
      </c>
      <c r="AG67" s="72" t="e">
        <f t="shared" si="7"/>
        <v>#VALUE!</v>
      </c>
      <c r="AH67" s="72" t="e">
        <f t="shared" si="11"/>
        <v>#VALUE!</v>
      </c>
    </row>
    <row r="68" spans="1:34" x14ac:dyDescent="0.35">
      <c r="A68" s="63">
        <f t="shared" si="12"/>
        <v>-33</v>
      </c>
      <c r="B68" s="55">
        <f t="shared" si="0"/>
        <v>320.44444444444412</v>
      </c>
      <c r="C68" s="55" t="e">
        <f t="shared" si="30"/>
        <v>#VALUE!</v>
      </c>
      <c r="D68" s="55" t="e">
        <f t="shared" si="29"/>
        <v>#VALUE!</v>
      </c>
      <c r="E68" s="74" t="e">
        <f t="shared" si="13"/>
        <v>#VALUE!</v>
      </c>
      <c r="F68" s="60">
        <f t="shared" si="14"/>
        <v>0.5</v>
      </c>
      <c r="G68" s="66">
        <v>44.25</v>
      </c>
      <c r="H68" s="56" t="e">
        <f t="shared" si="2"/>
        <v>#VALUE!</v>
      </c>
      <c r="I68" s="55" t="e">
        <f t="shared" si="15"/>
        <v>#VALUE!</v>
      </c>
      <c r="J68" s="75">
        <f t="shared" si="16"/>
        <v>0.6</v>
      </c>
      <c r="K68" s="64">
        <f t="shared" si="17"/>
        <v>4093.0600000000045</v>
      </c>
      <c r="L68" s="64">
        <f t="shared" si="18"/>
        <v>4050.9900000000043</v>
      </c>
      <c r="M68" s="56" t="e">
        <f t="shared" si="19"/>
        <v>#VALUE!</v>
      </c>
      <c r="N68" s="56" t="e">
        <f t="shared" si="20"/>
        <v>#VALUE!</v>
      </c>
      <c r="O68" s="69" t="e">
        <f t="shared" si="21"/>
        <v>#VALUE!</v>
      </c>
      <c r="P68" s="45" t="e">
        <f t="shared" si="22"/>
        <v>#VALUE!</v>
      </c>
      <c r="Q68" s="45" t="e">
        <f t="shared" si="23"/>
        <v>#VALUE!</v>
      </c>
      <c r="R68" s="45" t="e">
        <f t="shared" si="27"/>
        <v>#VALUE!</v>
      </c>
      <c r="S68" s="52">
        <v>42.07</v>
      </c>
      <c r="T68" s="56" t="e">
        <f t="shared" si="24"/>
        <v>#VALUE!</v>
      </c>
      <c r="U68" s="56" t="e">
        <f t="shared" si="9"/>
        <v>#VALUE!</v>
      </c>
      <c r="V68" s="56" t="e">
        <f t="shared" si="3"/>
        <v>#VALUE!</v>
      </c>
      <c r="W68" s="71" t="e">
        <f t="shared" si="28"/>
        <v>#VALUE!</v>
      </c>
      <c r="X68" s="56">
        <f t="shared" si="4"/>
        <v>28.730008701704218</v>
      </c>
      <c r="Y68" s="66">
        <v>1.5</v>
      </c>
      <c r="Z68" s="66">
        <v>0.5</v>
      </c>
      <c r="AA68" s="66">
        <v>0.5</v>
      </c>
      <c r="AB68" s="56" t="e">
        <f t="shared" si="10"/>
        <v>#VALUE!</v>
      </c>
      <c r="AC68" s="73" t="e">
        <f t="shared" si="5"/>
        <v>#VALUE!</v>
      </c>
      <c r="AD68" s="56" t="e">
        <f t="shared" si="25"/>
        <v>#VALUE!</v>
      </c>
      <c r="AE68" s="48" t="e">
        <f t="shared" si="6"/>
        <v>#VALUE!</v>
      </c>
      <c r="AF68" s="72">
        <f t="shared" si="26"/>
        <v>5.1111111111111107</v>
      </c>
      <c r="AG68" s="72" t="e">
        <f t="shared" si="7"/>
        <v>#VALUE!</v>
      </c>
      <c r="AH68" s="72" t="e">
        <f t="shared" si="11"/>
        <v>#VALUE!</v>
      </c>
    </row>
    <row r="69" spans="1:34" x14ac:dyDescent="0.35">
      <c r="A69" s="63">
        <f t="shared" si="12"/>
        <v>-34</v>
      </c>
      <c r="B69" s="55">
        <f t="shared" si="0"/>
        <v>314.93333333333305</v>
      </c>
      <c r="C69" s="55" t="e">
        <f t="shared" si="30"/>
        <v>#VALUE!</v>
      </c>
      <c r="D69" s="55" t="e">
        <f t="shared" si="29"/>
        <v>#VALUE!</v>
      </c>
      <c r="E69" s="74" t="e">
        <f t="shared" si="13"/>
        <v>#VALUE!</v>
      </c>
      <c r="F69" s="60">
        <f t="shared" si="14"/>
        <v>0.5</v>
      </c>
      <c r="G69" s="66">
        <v>45.25</v>
      </c>
      <c r="H69" s="56" t="e">
        <f t="shared" si="2"/>
        <v>#VALUE!</v>
      </c>
      <c r="I69" s="55" t="e">
        <f t="shared" si="15"/>
        <v>#VALUE!</v>
      </c>
      <c r="J69" s="75">
        <f t="shared" si="16"/>
        <v>0.6</v>
      </c>
      <c r="K69" s="64">
        <f t="shared" si="17"/>
        <v>4050.9900000000043</v>
      </c>
      <c r="L69" s="64">
        <f t="shared" si="18"/>
        <v>4007.9200000000042</v>
      </c>
      <c r="M69" s="56" t="e">
        <f t="shared" si="19"/>
        <v>#VALUE!</v>
      </c>
      <c r="N69" s="56" t="e">
        <f t="shared" si="20"/>
        <v>#VALUE!</v>
      </c>
      <c r="O69" s="69" t="e">
        <f t="shared" si="21"/>
        <v>#VALUE!</v>
      </c>
      <c r="P69" s="45" t="e">
        <f t="shared" si="22"/>
        <v>#VALUE!</v>
      </c>
      <c r="Q69" s="45" t="e">
        <f t="shared" si="23"/>
        <v>#VALUE!</v>
      </c>
      <c r="R69" s="45" t="e">
        <f t="shared" si="27"/>
        <v>#VALUE!</v>
      </c>
      <c r="S69" s="52">
        <v>43.07</v>
      </c>
      <c r="T69" s="56" t="e">
        <f t="shared" si="24"/>
        <v>#VALUE!</v>
      </c>
      <c r="U69" s="56" t="e">
        <f t="shared" si="9"/>
        <v>#VALUE!</v>
      </c>
      <c r="V69" s="56" t="e">
        <f t="shared" si="3"/>
        <v>#VALUE!</v>
      </c>
      <c r="W69" s="71" t="e">
        <f t="shared" si="28"/>
        <v>#VALUE!</v>
      </c>
      <c r="X69" s="56">
        <f t="shared" si="4"/>
        <v>29.069458199285382</v>
      </c>
      <c r="Y69" s="66">
        <v>1.5</v>
      </c>
      <c r="Z69" s="66">
        <v>0.5</v>
      </c>
      <c r="AA69" s="66">
        <v>0.5</v>
      </c>
      <c r="AB69" s="56" t="e">
        <f t="shared" si="10"/>
        <v>#VALUE!</v>
      </c>
      <c r="AC69" s="73" t="e">
        <f t="shared" si="5"/>
        <v>#VALUE!</v>
      </c>
      <c r="AD69" s="56" t="e">
        <f t="shared" si="25"/>
        <v>#VALUE!</v>
      </c>
      <c r="AE69" s="48" t="e">
        <f t="shared" si="6"/>
        <v>#VALUE!</v>
      </c>
      <c r="AF69" s="72">
        <f t="shared" si="26"/>
        <v>5.1111111111111107</v>
      </c>
      <c r="AG69" s="72" t="e">
        <f t="shared" si="7"/>
        <v>#VALUE!</v>
      </c>
      <c r="AH69" s="72" t="e">
        <f t="shared" si="11"/>
        <v>#VALUE!</v>
      </c>
    </row>
    <row r="70" spans="1:34" x14ac:dyDescent="0.35">
      <c r="A70" s="63">
        <f t="shared" si="12"/>
        <v>-35</v>
      </c>
      <c r="B70" s="55">
        <f t="shared" si="0"/>
        <v>309.42222222222199</v>
      </c>
      <c r="C70" s="55" t="e">
        <f t="shared" si="30"/>
        <v>#VALUE!</v>
      </c>
      <c r="D70" s="55" t="e">
        <f t="shared" si="29"/>
        <v>#VALUE!</v>
      </c>
      <c r="E70" s="74" t="e">
        <f t="shared" si="13"/>
        <v>#VALUE!</v>
      </c>
      <c r="F70" s="60">
        <f t="shared" si="14"/>
        <v>0.5</v>
      </c>
      <c r="G70" s="66">
        <v>46.25</v>
      </c>
      <c r="H70" s="56" t="e">
        <f t="shared" si="2"/>
        <v>#VALUE!</v>
      </c>
      <c r="I70" s="55" t="e">
        <f t="shared" si="15"/>
        <v>#VALUE!</v>
      </c>
      <c r="J70" s="75">
        <f t="shared" si="16"/>
        <v>0.6</v>
      </c>
      <c r="K70" s="64">
        <f t="shared" si="17"/>
        <v>4007.9200000000042</v>
      </c>
      <c r="L70" s="64">
        <f t="shared" si="18"/>
        <v>3963.850000000004</v>
      </c>
      <c r="M70" s="56" t="e">
        <f t="shared" si="19"/>
        <v>#VALUE!</v>
      </c>
      <c r="N70" s="56" t="e">
        <f t="shared" si="20"/>
        <v>#VALUE!</v>
      </c>
      <c r="O70" s="69" t="e">
        <f t="shared" si="21"/>
        <v>#VALUE!</v>
      </c>
      <c r="P70" s="45" t="e">
        <f t="shared" si="22"/>
        <v>#VALUE!</v>
      </c>
      <c r="Q70" s="45" t="e">
        <f t="shared" si="23"/>
        <v>#VALUE!</v>
      </c>
      <c r="R70" s="45" t="e">
        <f t="shared" si="27"/>
        <v>#VALUE!</v>
      </c>
      <c r="S70" s="52">
        <v>44.07</v>
      </c>
      <c r="T70" s="56" t="e">
        <f t="shared" si="24"/>
        <v>#VALUE!</v>
      </c>
      <c r="U70" s="56" t="e">
        <f t="shared" si="9"/>
        <v>#VALUE!</v>
      </c>
      <c r="V70" s="56" t="e">
        <f t="shared" si="3"/>
        <v>#VALUE!</v>
      </c>
      <c r="W70" s="71" t="e">
        <f t="shared" si="28"/>
        <v>#VALUE!</v>
      </c>
      <c r="X70" s="56">
        <f t="shared" si="4"/>
        <v>29.404989372553768</v>
      </c>
      <c r="Y70" s="66">
        <v>1.5</v>
      </c>
      <c r="Z70" s="66">
        <v>0.5</v>
      </c>
      <c r="AA70" s="66">
        <v>0.5</v>
      </c>
      <c r="AB70" s="56" t="e">
        <f t="shared" si="10"/>
        <v>#VALUE!</v>
      </c>
      <c r="AC70" s="73" t="e">
        <f t="shared" si="5"/>
        <v>#VALUE!</v>
      </c>
      <c r="AD70" s="56" t="e">
        <f t="shared" si="25"/>
        <v>#VALUE!</v>
      </c>
      <c r="AE70" s="48" t="e">
        <f t="shared" si="6"/>
        <v>#VALUE!</v>
      </c>
      <c r="AF70" s="72">
        <f t="shared" si="26"/>
        <v>5.1111111111111107</v>
      </c>
      <c r="AG70" s="72" t="e">
        <f t="shared" si="7"/>
        <v>#VALUE!</v>
      </c>
      <c r="AH70" s="72" t="e">
        <f t="shared" si="11"/>
        <v>#VALUE!</v>
      </c>
    </row>
    <row r="71" spans="1:34" x14ac:dyDescent="0.35">
      <c r="A71" s="63">
        <f t="shared" si="12"/>
        <v>-36</v>
      </c>
      <c r="B71" s="55">
        <f t="shared" si="0"/>
        <v>303.91111111111093</v>
      </c>
      <c r="C71" s="55" t="e">
        <f t="shared" si="30"/>
        <v>#VALUE!</v>
      </c>
      <c r="D71" s="55" t="e">
        <f t="shared" si="29"/>
        <v>#VALUE!</v>
      </c>
      <c r="E71" s="74" t="e">
        <f t="shared" si="13"/>
        <v>#VALUE!</v>
      </c>
      <c r="F71" s="60">
        <f t="shared" si="14"/>
        <v>0.5</v>
      </c>
      <c r="G71" s="66">
        <v>47.25</v>
      </c>
      <c r="H71" s="56" t="e">
        <f t="shared" si="2"/>
        <v>#VALUE!</v>
      </c>
      <c r="I71" s="55" t="e">
        <f t="shared" si="15"/>
        <v>#VALUE!</v>
      </c>
      <c r="J71" s="75">
        <f t="shared" si="16"/>
        <v>0.6</v>
      </c>
      <c r="K71" s="64">
        <f t="shared" si="17"/>
        <v>3963.850000000004</v>
      </c>
      <c r="L71" s="64">
        <f t="shared" si="18"/>
        <v>3918.7800000000038</v>
      </c>
      <c r="M71" s="56" t="e">
        <f t="shared" si="19"/>
        <v>#VALUE!</v>
      </c>
      <c r="N71" s="56" t="e">
        <f t="shared" si="20"/>
        <v>#VALUE!</v>
      </c>
      <c r="O71" s="69" t="e">
        <f t="shared" si="21"/>
        <v>#VALUE!</v>
      </c>
      <c r="P71" s="45" t="e">
        <f t="shared" si="22"/>
        <v>#VALUE!</v>
      </c>
      <c r="Q71" s="45" t="e">
        <f t="shared" si="23"/>
        <v>#VALUE!</v>
      </c>
      <c r="R71" s="45" t="e">
        <f t="shared" si="27"/>
        <v>#VALUE!</v>
      </c>
      <c r="S71" s="52">
        <v>45.07</v>
      </c>
      <c r="T71" s="56" t="e">
        <f t="shared" si="24"/>
        <v>#VALUE!</v>
      </c>
      <c r="U71" s="56" t="e">
        <f t="shared" si="9"/>
        <v>#VALUE!</v>
      </c>
      <c r="V71" s="56" t="e">
        <f t="shared" si="3"/>
        <v>#VALUE!</v>
      </c>
      <c r="W71" s="71" t="e">
        <f t="shared" si="28"/>
        <v>#VALUE!</v>
      </c>
      <c r="X71" s="56">
        <f t="shared" si="4"/>
        <v>29.736734857747916</v>
      </c>
      <c r="Y71" s="66">
        <v>1.5</v>
      </c>
      <c r="Z71" s="66">
        <v>0.5</v>
      </c>
      <c r="AA71" s="66">
        <v>0.5</v>
      </c>
      <c r="AB71" s="56" t="e">
        <f t="shared" si="10"/>
        <v>#VALUE!</v>
      </c>
      <c r="AC71" s="73" t="e">
        <f t="shared" si="5"/>
        <v>#VALUE!</v>
      </c>
      <c r="AD71" s="56" t="e">
        <f t="shared" si="25"/>
        <v>#VALUE!</v>
      </c>
      <c r="AE71" s="48" t="e">
        <f t="shared" si="6"/>
        <v>#VALUE!</v>
      </c>
      <c r="AF71" s="72">
        <f t="shared" si="26"/>
        <v>5.1111111111111107</v>
      </c>
      <c r="AG71" s="72" t="e">
        <f t="shared" si="7"/>
        <v>#VALUE!</v>
      </c>
      <c r="AH71" s="72" t="e">
        <f t="shared" si="11"/>
        <v>#VALUE!</v>
      </c>
    </row>
    <row r="72" spans="1:34" x14ac:dyDescent="0.35">
      <c r="A72" s="63">
        <f t="shared" si="12"/>
        <v>-37</v>
      </c>
      <c r="B72" s="55">
        <f t="shared" si="0"/>
        <v>298.39999999999986</v>
      </c>
      <c r="C72" s="55" t="e">
        <f t="shared" si="30"/>
        <v>#VALUE!</v>
      </c>
      <c r="D72" s="55" t="e">
        <f t="shared" si="29"/>
        <v>#VALUE!</v>
      </c>
      <c r="E72" s="74" t="e">
        <f t="shared" si="13"/>
        <v>#VALUE!</v>
      </c>
      <c r="F72" s="60">
        <f t="shared" si="14"/>
        <v>0.5</v>
      </c>
      <c r="G72" s="66">
        <v>48.25</v>
      </c>
      <c r="H72" s="56" t="e">
        <f t="shared" si="2"/>
        <v>#VALUE!</v>
      </c>
      <c r="I72" s="55" t="e">
        <f t="shared" si="15"/>
        <v>#VALUE!</v>
      </c>
      <c r="J72" s="75">
        <f t="shared" si="16"/>
        <v>0.6</v>
      </c>
      <c r="K72" s="64">
        <f t="shared" si="17"/>
        <v>3918.7800000000038</v>
      </c>
      <c r="L72" s="64">
        <f t="shared" si="18"/>
        <v>3872.7100000000037</v>
      </c>
      <c r="M72" s="56" t="e">
        <f t="shared" si="19"/>
        <v>#VALUE!</v>
      </c>
      <c r="N72" s="56" t="e">
        <f t="shared" si="20"/>
        <v>#VALUE!</v>
      </c>
      <c r="O72" s="69" t="e">
        <f t="shared" si="21"/>
        <v>#VALUE!</v>
      </c>
      <c r="P72" s="45" t="e">
        <f t="shared" si="22"/>
        <v>#VALUE!</v>
      </c>
      <c r="Q72" s="45" t="e">
        <f t="shared" si="23"/>
        <v>#VALUE!</v>
      </c>
      <c r="R72" s="45" t="e">
        <f t="shared" si="27"/>
        <v>#VALUE!</v>
      </c>
      <c r="S72" s="52">
        <v>46.07</v>
      </c>
      <c r="T72" s="56" t="e">
        <f t="shared" si="24"/>
        <v>#VALUE!</v>
      </c>
      <c r="U72" s="56" t="e">
        <f t="shared" si="9"/>
        <v>#VALUE!</v>
      </c>
      <c r="V72" s="56" t="e">
        <f t="shared" si="3"/>
        <v>#VALUE!</v>
      </c>
      <c r="W72" s="71" t="e">
        <f t="shared" si="28"/>
        <v>#VALUE!</v>
      </c>
      <c r="X72" s="56">
        <f t="shared" si="4"/>
        <v>30.064819972851993</v>
      </c>
      <c r="Y72" s="66">
        <v>1.5</v>
      </c>
      <c r="Z72" s="66">
        <v>0.5</v>
      </c>
      <c r="AA72" s="66">
        <v>0.5</v>
      </c>
      <c r="AB72" s="56" t="e">
        <f t="shared" si="10"/>
        <v>#VALUE!</v>
      </c>
      <c r="AC72" s="73" t="e">
        <f t="shared" si="5"/>
        <v>#VALUE!</v>
      </c>
      <c r="AD72" s="56" t="e">
        <f t="shared" si="25"/>
        <v>#VALUE!</v>
      </c>
      <c r="AE72" s="48" t="e">
        <f t="shared" si="6"/>
        <v>#VALUE!</v>
      </c>
      <c r="AF72" s="72">
        <f t="shared" si="26"/>
        <v>5.1111111111111107</v>
      </c>
      <c r="AG72" s="72" t="e">
        <f t="shared" si="7"/>
        <v>#VALUE!</v>
      </c>
      <c r="AH72" s="72" t="e">
        <f t="shared" si="11"/>
        <v>#VALUE!</v>
      </c>
    </row>
    <row r="73" spans="1:34" x14ac:dyDescent="0.35">
      <c r="A73" s="63">
        <f t="shared" si="12"/>
        <v>-38</v>
      </c>
      <c r="B73" s="55">
        <f t="shared" si="0"/>
        <v>292.8888888888888</v>
      </c>
      <c r="C73" s="55" t="e">
        <f t="shared" si="30"/>
        <v>#VALUE!</v>
      </c>
      <c r="D73" s="55" t="e">
        <f t="shared" si="29"/>
        <v>#VALUE!</v>
      </c>
      <c r="E73" s="74" t="e">
        <f t="shared" si="13"/>
        <v>#VALUE!</v>
      </c>
      <c r="F73" s="60">
        <f t="shared" si="14"/>
        <v>0.5</v>
      </c>
      <c r="G73" s="66">
        <v>49.25</v>
      </c>
      <c r="H73" s="56" t="e">
        <f t="shared" si="2"/>
        <v>#VALUE!</v>
      </c>
      <c r="I73" s="55" t="e">
        <f t="shared" si="15"/>
        <v>#VALUE!</v>
      </c>
      <c r="J73" s="75">
        <f t="shared" si="16"/>
        <v>0.6</v>
      </c>
      <c r="K73" s="64">
        <f t="shared" si="17"/>
        <v>3872.7100000000037</v>
      </c>
      <c r="L73" s="64">
        <f t="shared" si="18"/>
        <v>3825.6400000000035</v>
      </c>
      <c r="M73" s="56" t="e">
        <f t="shared" si="19"/>
        <v>#VALUE!</v>
      </c>
      <c r="N73" s="56" t="e">
        <f t="shared" si="20"/>
        <v>#VALUE!</v>
      </c>
      <c r="O73" s="69" t="e">
        <f t="shared" si="21"/>
        <v>#VALUE!</v>
      </c>
      <c r="P73" s="45" t="e">
        <f t="shared" si="22"/>
        <v>#VALUE!</v>
      </c>
      <c r="Q73" s="45" t="e">
        <f t="shared" si="23"/>
        <v>#VALUE!</v>
      </c>
      <c r="R73" s="45" t="e">
        <f t="shared" si="27"/>
        <v>#VALUE!</v>
      </c>
      <c r="S73" s="52">
        <v>47.07</v>
      </c>
      <c r="T73" s="56" t="e">
        <f t="shared" si="24"/>
        <v>#VALUE!</v>
      </c>
      <c r="U73" s="56" t="e">
        <f t="shared" si="9"/>
        <v>#VALUE!</v>
      </c>
      <c r="V73" s="56" t="e">
        <f t="shared" si="3"/>
        <v>#VALUE!</v>
      </c>
      <c r="W73" s="71" t="e">
        <f t="shared" si="28"/>
        <v>#VALUE!</v>
      </c>
      <c r="X73" s="56">
        <f t="shared" si="4"/>
        <v>30.389363270723525</v>
      </c>
      <c r="Y73" s="66">
        <v>1.5</v>
      </c>
      <c r="Z73" s="66">
        <v>0.5</v>
      </c>
      <c r="AA73" s="66">
        <v>0.5</v>
      </c>
      <c r="AB73" s="56" t="e">
        <f t="shared" si="10"/>
        <v>#VALUE!</v>
      </c>
      <c r="AC73" s="73" t="e">
        <f t="shared" si="5"/>
        <v>#VALUE!</v>
      </c>
      <c r="AD73" s="56" t="e">
        <f t="shared" si="25"/>
        <v>#VALUE!</v>
      </c>
      <c r="AE73" s="48" t="e">
        <f t="shared" si="6"/>
        <v>#VALUE!</v>
      </c>
      <c r="AF73" s="72">
        <f t="shared" si="26"/>
        <v>5.1111111111111107</v>
      </c>
      <c r="AG73" s="72" t="e">
        <f t="shared" si="7"/>
        <v>#VALUE!</v>
      </c>
      <c r="AH73" s="72" t="e">
        <f t="shared" si="11"/>
        <v>#VALUE!</v>
      </c>
    </row>
    <row r="74" spans="1:34" x14ac:dyDescent="0.35">
      <c r="A74" s="63">
        <f t="shared" si="12"/>
        <v>-39</v>
      </c>
      <c r="B74" s="55">
        <f t="shared" si="0"/>
        <v>287.37777777777774</v>
      </c>
      <c r="C74" s="55" t="e">
        <f t="shared" si="30"/>
        <v>#VALUE!</v>
      </c>
      <c r="D74" s="55" t="e">
        <f t="shared" si="29"/>
        <v>#VALUE!</v>
      </c>
      <c r="E74" s="74" t="e">
        <f t="shared" si="13"/>
        <v>#VALUE!</v>
      </c>
      <c r="F74" s="60">
        <f t="shared" si="14"/>
        <v>0.5</v>
      </c>
      <c r="G74" s="66">
        <v>50.25</v>
      </c>
      <c r="H74" s="56" t="e">
        <f t="shared" si="2"/>
        <v>#VALUE!</v>
      </c>
      <c r="I74" s="55" t="e">
        <f t="shared" si="15"/>
        <v>#VALUE!</v>
      </c>
      <c r="J74" s="75">
        <f t="shared" si="16"/>
        <v>0.6</v>
      </c>
      <c r="K74" s="64">
        <f t="shared" si="17"/>
        <v>3825.6400000000035</v>
      </c>
      <c r="L74" s="64">
        <f t="shared" si="18"/>
        <v>3777.5700000000033</v>
      </c>
      <c r="M74" s="56" t="e">
        <f t="shared" si="19"/>
        <v>#VALUE!</v>
      </c>
      <c r="N74" s="56" t="e">
        <f t="shared" si="20"/>
        <v>#VALUE!</v>
      </c>
      <c r="O74" s="69" t="e">
        <f t="shared" si="21"/>
        <v>#VALUE!</v>
      </c>
      <c r="P74" s="45" t="e">
        <f t="shared" si="22"/>
        <v>#VALUE!</v>
      </c>
      <c r="Q74" s="45" t="e">
        <f t="shared" si="23"/>
        <v>#VALUE!</v>
      </c>
      <c r="R74" s="45" t="e">
        <f t="shared" si="27"/>
        <v>#VALUE!</v>
      </c>
      <c r="S74" s="52">
        <v>48.07</v>
      </c>
      <c r="T74" s="56" t="e">
        <f t="shared" si="24"/>
        <v>#VALUE!</v>
      </c>
      <c r="U74" s="56" t="e">
        <f t="shared" si="9"/>
        <v>#VALUE!</v>
      </c>
      <c r="V74" s="56" t="e">
        <f t="shared" si="3"/>
        <v>#VALUE!</v>
      </c>
      <c r="W74" s="71" t="e">
        <f t="shared" si="28"/>
        <v>#VALUE!</v>
      </c>
      <c r="X74" s="56">
        <f t="shared" si="4"/>
        <v>30.710477039603276</v>
      </c>
      <c r="Y74" s="66">
        <v>1.5</v>
      </c>
      <c r="Z74" s="66">
        <v>0.5</v>
      </c>
      <c r="AA74" s="66">
        <v>0.5</v>
      </c>
      <c r="AB74" s="56" t="e">
        <f t="shared" si="10"/>
        <v>#VALUE!</v>
      </c>
      <c r="AC74" s="73" t="e">
        <f t="shared" si="5"/>
        <v>#VALUE!</v>
      </c>
      <c r="AD74" s="56" t="e">
        <f t="shared" si="25"/>
        <v>#VALUE!</v>
      </c>
      <c r="AE74" s="48" t="e">
        <f t="shared" si="6"/>
        <v>#VALUE!</v>
      </c>
      <c r="AF74" s="72">
        <f t="shared" si="26"/>
        <v>5.1111111111111107</v>
      </c>
      <c r="AG74" s="72" t="e">
        <f t="shared" si="7"/>
        <v>#VALUE!</v>
      </c>
      <c r="AH74" s="72" t="e">
        <f t="shared" si="11"/>
        <v>#VALUE!</v>
      </c>
    </row>
    <row r="75" spans="1:34" x14ac:dyDescent="0.35">
      <c r="A75" s="63">
        <f t="shared" si="12"/>
        <v>-40</v>
      </c>
      <c r="B75" s="55">
        <f t="shared" si="0"/>
        <v>281.86666666666667</v>
      </c>
      <c r="C75" s="55" t="e">
        <f t="shared" si="30"/>
        <v>#VALUE!</v>
      </c>
      <c r="D75" s="55" t="e">
        <f t="shared" si="29"/>
        <v>#VALUE!</v>
      </c>
      <c r="E75" s="74" t="e">
        <f t="shared" si="13"/>
        <v>#VALUE!</v>
      </c>
      <c r="F75" s="60">
        <f t="shared" si="14"/>
        <v>0.5</v>
      </c>
      <c r="G75" s="66">
        <v>51.25</v>
      </c>
      <c r="H75" s="56" t="e">
        <f t="shared" si="2"/>
        <v>#VALUE!</v>
      </c>
      <c r="I75" s="55" t="e">
        <f t="shared" si="15"/>
        <v>#VALUE!</v>
      </c>
      <c r="J75" s="75">
        <f t="shared" si="16"/>
        <v>0.6</v>
      </c>
      <c r="K75" s="64">
        <f t="shared" si="17"/>
        <v>3777.5700000000033</v>
      </c>
      <c r="L75" s="64">
        <f t="shared" si="18"/>
        <v>3728.5000000000032</v>
      </c>
      <c r="M75" s="56" t="e">
        <f t="shared" si="19"/>
        <v>#VALUE!</v>
      </c>
      <c r="N75" s="56" t="e">
        <f t="shared" si="20"/>
        <v>#VALUE!</v>
      </c>
      <c r="O75" s="69" t="e">
        <f t="shared" si="21"/>
        <v>#VALUE!</v>
      </c>
      <c r="P75" s="45" t="e">
        <f t="shared" si="22"/>
        <v>#VALUE!</v>
      </c>
      <c r="Q75" s="45" t="e">
        <f t="shared" si="23"/>
        <v>#VALUE!</v>
      </c>
      <c r="R75" s="45" t="e">
        <f t="shared" si="27"/>
        <v>#VALUE!</v>
      </c>
      <c r="S75" s="52">
        <v>49.07</v>
      </c>
      <c r="T75" s="56" t="e">
        <f t="shared" si="24"/>
        <v>#VALUE!</v>
      </c>
      <c r="U75" s="56" t="e">
        <f t="shared" si="9"/>
        <v>#VALUE!</v>
      </c>
      <c r="V75" s="56" t="e">
        <f t="shared" si="3"/>
        <v>#VALUE!</v>
      </c>
      <c r="W75" s="71" t="e">
        <f t="shared" si="28"/>
        <v>#VALUE!</v>
      </c>
      <c r="X75" s="56">
        <f t="shared" si="4"/>
        <v>31.02826775699862</v>
      </c>
      <c r="Y75" s="66">
        <v>1.5</v>
      </c>
      <c r="Z75" s="66">
        <v>0.5</v>
      </c>
      <c r="AA75" s="66">
        <v>0.5</v>
      </c>
      <c r="AB75" s="56" t="e">
        <f t="shared" si="10"/>
        <v>#VALUE!</v>
      </c>
      <c r="AC75" s="73" t="e">
        <f t="shared" si="5"/>
        <v>#VALUE!</v>
      </c>
      <c r="AD75" s="56" t="e">
        <f t="shared" si="25"/>
        <v>#VALUE!</v>
      </c>
      <c r="AE75" s="48" t="e">
        <f t="shared" si="6"/>
        <v>#VALUE!</v>
      </c>
      <c r="AF75" s="72">
        <f t="shared" si="26"/>
        <v>5.1111111111111107</v>
      </c>
      <c r="AG75" s="72" t="e">
        <f t="shared" si="7"/>
        <v>#VALUE!</v>
      </c>
      <c r="AH75" s="72" t="e">
        <f t="shared" si="11"/>
        <v>#VALUE!</v>
      </c>
    </row>
    <row r="76" spans="1:34" x14ac:dyDescent="0.35">
      <c r="A76" s="63">
        <f t="shared" si="12"/>
        <v>-41</v>
      </c>
      <c r="B76" s="55">
        <f t="shared" si="0"/>
        <v>276.35555555555561</v>
      </c>
      <c r="C76" s="55" t="e">
        <f t="shared" si="30"/>
        <v>#VALUE!</v>
      </c>
      <c r="D76" s="55" t="e">
        <f t="shared" si="29"/>
        <v>#VALUE!</v>
      </c>
      <c r="E76" s="74" t="e">
        <f t="shared" si="13"/>
        <v>#VALUE!</v>
      </c>
      <c r="F76" s="60">
        <f t="shared" si="14"/>
        <v>0.5</v>
      </c>
      <c r="G76" s="66">
        <v>52.25</v>
      </c>
      <c r="H76" s="56" t="e">
        <f t="shared" si="2"/>
        <v>#VALUE!</v>
      </c>
      <c r="I76" s="55" t="e">
        <f t="shared" si="15"/>
        <v>#VALUE!</v>
      </c>
      <c r="J76" s="75">
        <f t="shared" si="16"/>
        <v>0.6</v>
      </c>
      <c r="K76" s="64">
        <f t="shared" si="17"/>
        <v>3728.5000000000032</v>
      </c>
      <c r="L76" s="64">
        <f t="shared" si="18"/>
        <v>3678.430000000003</v>
      </c>
      <c r="M76" s="56" t="e">
        <f t="shared" si="19"/>
        <v>#VALUE!</v>
      </c>
      <c r="N76" s="56" t="e">
        <f t="shared" si="20"/>
        <v>#VALUE!</v>
      </c>
      <c r="O76" s="69" t="e">
        <f t="shared" si="21"/>
        <v>#VALUE!</v>
      </c>
      <c r="P76" s="45" t="e">
        <f t="shared" si="22"/>
        <v>#VALUE!</v>
      </c>
      <c r="Q76" s="45" t="e">
        <f t="shared" si="23"/>
        <v>#VALUE!</v>
      </c>
      <c r="R76" s="45" t="e">
        <f t="shared" si="27"/>
        <v>#VALUE!</v>
      </c>
      <c r="S76" s="52">
        <v>50.07</v>
      </c>
      <c r="T76" s="56" t="e">
        <f t="shared" si="24"/>
        <v>#VALUE!</v>
      </c>
      <c r="U76" s="56" t="e">
        <f t="shared" si="9"/>
        <v>#VALUE!</v>
      </c>
      <c r="V76" s="56" t="e">
        <f t="shared" si="3"/>
        <v>#VALUE!</v>
      </c>
      <c r="W76" s="71" t="e">
        <f t="shared" si="28"/>
        <v>#VALUE!</v>
      </c>
      <c r="X76" s="56">
        <f t="shared" si="4"/>
        <v>31.342836502141921</v>
      </c>
      <c r="Y76" s="66">
        <v>1.5</v>
      </c>
      <c r="Z76" s="66">
        <v>0.5</v>
      </c>
      <c r="AA76" s="66">
        <v>0.5</v>
      </c>
      <c r="AB76" s="56" t="e">
        <f t="shared" si="10"/>
        <v>#VALUE!</v>
      </c>
      <c r="AC76" s="73" t="e">
        <f t="shared" si="5"/>
        <v>#VALUE!</v>
      </c>
      <c r="AD76" s="56" t="e">
        <f t="shared" si="25"/>
        <v>#VALUE!</v>
      </c>
      <c r="AE76" s="48" t="e">
        <f t="shared" si="6"/>
        <v>#VALUE!</v>
      </c>
      <c r="AF76" s="72">
        <f t="shared" si="26"/>
        <v>5.1111111111111107</v>
      </c>
      <c r="AG76" s="72" t="e">
        <f t="shared" si="7"/>
        <v>#VALUE!</v>
      </c>
      <c r="AH76" s="72" t="e">
        <f t="shared" si="11"/>
        <v>#VALUE!</v>
      </c>
    </row>
    <row r="77" spans="1:34" x14ac:dyDescent="0.35">
      <c r="A77" s="63">
        <f t="shared" si="12"/>
        <v>-42</v>
      </c>
      <c r="B77" s="55">
        <f t="shared" si="0"/>
        <v>270.84444444444455</v>
      </c>
      <c r="C77" s="55" t="e">
        <f t="shared" si="30"/>
        <v>#VALUE!</v>
      </c>
      <c r="D77" s="55" t="e">
        <f t="shared" si="29"/>
        <v>#VALUE!</v>
      </c>
      <c r="E77" s="74" t="e">
        <f t="shared" si="13"/>
        <v>#VALUE!</v>
      </c>
      <c r="F77" s="60">
        <f t="shared" si="14"/>
        <v>0.5</v>
      </c>
      <c r="G77" s="66">
        <v>53.25</v>
      </c>
      <c r="H77" s="56" t="e">
        <f t="shared" si="2"/>
        <v>#VALUE!</v>
      </c>
      <c r="I77" s="55" t="e">
        <f t="shared" si="15"/>
        <v>#VALUE!</v>
      </c>
      <c r="J77" s="75">
        <f t="shared" si="16"/>
        <v>0.6</v>
      </c>
      <c r="K77" s="64">
        <f t="shared" si="17"/>
        <v>3678.430000000003</v>
      </c>
      <c r="L77" s="64">
        <f t="shared" si="18"/>
        <v>3627.3600000000029</v>
      </c>
      <c r="M77" s="56" t="e">
        <f t="shared" si="19"/>
        <v>#VALUE!</v>
      </c>
      <c r="N77" s="56" t="e">
        <f t="shared" si="20"/>
        <v>#VALUE!</v>
      </c>
      <c r="O77" s="69" t="e">
        <f t="shared" si="21"/>
        <v>#VALUE!</v>
      </c>
      <c r="P77" s="45" t="e">
        <f t="shared" si="22"/>
        <v>#VALUE!</v>
      </c>
      <c r="Q77" s="45" t="e">
        <f t="shared" si="23"/>
        <v>#VALUE!</v>
      </c>
      <c r="R77" s="45" t="e">
        <f t="shared" si="27"/>
        <v>#VALUE!</v>
      </c>
      <c r="S77" s="52">
        <v>51.07</v>
      </c>
      <c r="T77" s="56" t="e">
        <f t="shared" si="24"/>
        <v>#VALUE!</v>
      </c>
      <c r="U77" s="56" t="e">
        <f t="shared" si="9"/>
        <v>#VALUE!</v>
      </c>
      <c r="V77" s="56" t="e">
        <f t="shared" si="3"/>
        <v>#VALUE!</v>
      </c>
      <c r="W77" s="71" t="e">
        <f t="shared" si="28"/>
        <v>#VALUE!</v>
      </c>
      <c r="X77" s="56">
        <f t="shared" si="4"/>
        <v>31.654279331553262</v>
      </c>
      <c r="Y77" s="66">
        <v>1.5</v>
      </c>
      <c r="Z77" s="66">
        <v>0.5</v>
      </c>
      <c r="AA77" s="66">
        <v>0.5</v>
      </c>
      <c r="AB77" s="56" t="e">
        <f t="shared" si="10"/>
        <v>#VALUE!</v>
      </c>
      <c r="AC77" s="73" t="e">
        <f t="shared" si="5"/>
        <v>#VALUE!</v>
      </c>
      <c r="AD77" s="56" t="e">
        <f t="shared" si="25"/>
        <v>#VALUE!</v>
      </c>
      <c r="AE77" s="48" t="e">
        <f t="shared" si="6"/>
        <v>#VALUE!</v>
      </c>
      <c r="AF77" s="72">
        <f t="shared" si="26"/>
        <v>5.1111111111111107</v>
      </c>
      <c r="AG77" s="72" t="e">
        <f t="shared" si="7"/>
        <v>#VALUE!</v>
      </c>
      <c r="AH77" s="72" t="e">
        <f t="shared" si="11"/>
        <v>#VALUE!</v>
      </c>
    </row>
    <row r="78" spans="1:34" x14ac:dyDescent="0.35">
      <c r="A78" s="63">
        <f t="shared" si="12"/>
        <v>-43</v>
      </c>
      <c r="B78" s="55">
        <f t="shared" si="0"/>
        <v>265.33333333333348</v>
      </c>
      <c r="C78" s="55" t="e">
        <f t="shared" si="30"/>
        <v>#VALUE!</v>
      </c>
      <c r="D78" s="55" t="e">
        <f t="shared" si="29"/>
        <v>#VALUE!</v>
      </c>
      <c r="E78" s="74" t="e">
        <f t="shared" si="13"/>
        <v>#VALUE!</v>
      </c>
      <c r="F78" s="60">
        <f t="shared" si="14"/>
        <v>0.5</v>
      </c>
      <c r="G78" s="66">
        <v>54.25</v>
      </c>
      <c r="H78" s="56" t="e">
        <f t="shared" si="2"/>
        <v>#VALUE!</v>
      </c>
      <c r="I78" s="55" t="e">
        <f t="shared" si="15"/>
        <v>#VALUE!</v>
      </c>
      <c r="J78" s="75">
        <f t="shared" si="16"/>
        <v>0.6</v>
      </c>
      <c r="K78" s="64">
        <f t="shared" si="17"/>
        <v>3627.3600000000029</v>
      </c>
      <c r="L78" s="64">
        <f t="shared" si="18"/>
        <v>3575.2900000000027</v>
      </c>
      <c r="M78" s="56" t="e">
        <f t="shared" si="19"/>
        <v>#VALUE!</v>
      </c>
      <c r="N78" s="56" t="e">
        <f t="shared" si="20"/>
        <v>#VALUE!</v>
      </c>
      <c r="O78" s="69" t="e">
        <f t="shared" si="21"/>
        <v>#VALUE!</v>
      </c>
      <c r="P78" s="45" t="e">
        <f t="shared" si="22"/>
        <v>#VALUE!</v>
      </c>
      <c r="Q78" s="45" t="e">
        <f t="shared" si="23"/>
        <v>#VALUE!</v>
      </c>
      <c r="R78" s="45" t="e">
        <f t="shared" si="27"/>
        <v>#VALUE!</v>
      </c>
      <c r="S78" s="52">
        <v>52.07</v>
      </c>
      <c r="T78" s="56" t="e">
        <f t="shared" si="24"/>
        <v>#VALUE!</v>
      </c>
      <c r="U78" s="56" t="e">
        <f t="shared" si="9"/>
        <v>#VALUE!</v>
      </c>
      <c r="V78" s="56" t="e">
        <f t="shared" si="3"/>
        <v>#VALUE!</v>
      </c>
      <c r="W78" s="71" t="e">
        <f t="shared" si="28"/>
        <v>#VALUE!</v>
      </c>
      <c r="X78" s="56">
        <f t="shared" si="4"/>
        <v>31.962687621662859</v>
      </c>
      <c r="Y78" s="66">
        <v>1.5</v>
      </c>
      <c r="Z78" s="66">
        <v>0.5</v>
      </c>
      <c r="AA78" s="66">
        <v>0.5</v>
      </c>
      <c r="AB78" s="56" t="e">
        <f t="shared" si="10"/>
        <v>#VALUE!</v>
      </c>
      <c r="AC78" s="73" t="e">
        <f t="shared" si="5"/>
        <v>#VALUE!</v>
      </c>
      <c r="AD78" s="56" t="e">
        <f t="shared" si="25"/>
        <v>#VALUE!</v>
      </c>
      <c r="AE78" s="48" t="e">
        <f t="shared" si="6"/>
        <v>#VALUE!</v>
      </c>
      <c r="AF78" s="72">
        <f t="shared" si="26"/>
        <v>5.1111111111111107</v>
      </c>
      <c r="AG78" s="72" t="e">
        <f t="shared" si="7"/>
        <v>#VALUE!</v>
      </c>
      <c r="AH78" s="72" t="e">
        <f t="shared" si="11"/>
        <v>#VALUE!</v>
      </c>
    </row>
    <row r="79" spans="1:34" x14ac:dyDescent="0.35">
      <c r="A79" s="63">
        <f t="shared" si="12"/>
        <v>-44</v>
      </c>
      <c r="B79" s="55">
        <f t="shared" si="0"/>
        <v>259.82222222222242</v>
      </c>
      <c r="C79" s="55" t="e">
        <f t="shared" si="30"/>
        <v>#VALUE!</v>
      </c>
      <c r="D79" s="55" t="e">
        <f t="shared" si="29"/>
        <v>#VALUE!</v>
      </c>
      <c r="E79" s="74" t="e">
        <f t="shared" si="13"/>
        <v>#VALUE!</v>
      </c>
      <c r="F79" s="60">
        <f t="shared" si="14"/>
        <v>0.5</v>
      </c>
      <c r="G79" s="66">
        <v>55.25</v>
      </c>
      <c r="H79" s="56" t="e">
        <f t="shared" si="2"/>
        <v>#VALUE!</v>
      </c>
      <c r="I79" s="55" t="e">
        <f t="shared" si="15"/>
        <v>#VALUE!</v>
      </c>
      <c r="J79" s="75">
        <f t="shared" si="16"/>
        <v>0.6</v>
      </c>
      <c r="K79" s="64">
        <f t="shared" si="17"/>
        <v>3575.2900000000027</v>
      </c>
      <c r="L79" s="64">
        <f t="shared" si="18"/>
        <v>3522.2200000000025</v>
      </c>
      <c r="M79" s="56" t="e">
        <f t="shared" si="19"/>
        <v>#VALUE!</v>
      </c>
      <c r="N79" s="56" t="e">
        <f t="shared" si="20"/>
        <v>#VALUE!</v>
      </c>
      <c r="O79" s="69" t="e">
        <f t="shared" si="21"/>
        <v>#VALUE!</v>
      </c>
      <c r="P79" s="45" t="e">
        <f t="shared" si="22"/>
        <v>#VALUE!</v>
      </c>
      <c r="Q79" s="45" t="e">
        <f t="shared" si="23"/>
        <v>#VALUE!</v>
      </c>
      <c r="R79" s="45" t="e">
        <f t="shared" si="27"/>
        <v>#VALUE!</v>
      </c>
      <c r="S79" s="52">
        <v>53.07</v>
      </c>
      <c r="T79" s="56" t="e">
        <f t="shared" si="24"/>
        <v>#VALUE!</v>
      </c>
      <c r="U79" s="56" t="e">
        <f t="shared" si="9"/>
        <v>#VALUE!</v>
      </c>
      <c r="V79" s="56" t="e">
        <f t="shared" si="3"/>
        <v>#VALUE!</v>
      </c>
      <c r="W79" s="71" t="e">
        <f t="shared" si="28"/>
        <v>#VALUE!</v>
      </c>
      <c r="X79" s="56">
        <f t="shared" si="4"/>
        <v>32.26814838195709</v>
      </c>
      <c r="Y79" s="66">
        <v>1.5</v>
      </c>
      <c r="Z79" s="66">
        <v>0.5</v>
      </c>
      <c r="AA79" s="66">
        <v>0.5</v>
      </c>
      <c r="AB79" s="56" t="e">
        <f t="shared" si="10"/>
        <v>#VALUE!</v>
      </c>
      <c r="AC79" s="73" t="e">
        <f t="shared" si="5"/>
        <v>#VALUE!</v>
      </c>
      <c r="AD79" s="56" t="e">
        <f t="shared" si="25"/>
        <v>#VALUE!</v>
      </c>
      <c r="AE79" s="48" t="e">
        <f t="shared" si="6"/>
        <v>#VALUE!</v>
      </c>
      <c r="AF79" s="72">
        <f t="shared" si="26"/>
        <v>5.1111111111111107</v>
      </c>
      <c r="AG79" s="72" t="e">
        <f t="shared" si="7"/>
        <v>#VALUE!</v>
      </c>
      <c r="AH79" s="72" t="e">
        <f t="shared" si="11"/>
        <v>#VALUE!</v>
      </c>
    </row>
    <row r="80" spans="1:34" x14ac:dyDescent="0.35">
      <c r="A80" s="63">
        <f t="shared" si="12"/>
        <v>-45</v>
      </c>
      <c r="B80" s="55">
        <f t="shared" si="0"/>
        <v>254.31111111111136</v>
      </c>
      <c r="C80" s="55" t="e">
        <f t="shared" si="30"/>
        <v>#VALUE!</v>
      </c>
      <c r="D80" s="55" t="e">
        <f t="shared" si="29"/>
        <v>#VALUE!</v>
      </c>
      <c r="E80" s="74" t="e">
        <f t="shared" si="13"/>
        <v>#VALUE!</v>
      </c>
      <c r="F80" s="60">
        <f t="shared" si="14"/>
        <v>0.5</v>
      </c>
      <c r="G80" s="66">
        <v>56.25</v>
      </c>
      <c r="H80" s="56" t="e">
        <f t="shared" si="2"/>
        <v>#VALUE!</v>
      </c>
      <c r="I80" s="55" t="e">
        <f t="shared" si="15"/>
        <v>#VALUE!</v>
      </c>
      <c r="J80" s="75">
        <f t="shared" si="16"/>
        <v>0.6</v>
      </c>
      <c r="K80" s="64">
        <f t="shared" si="17"/>
        <v>3522.2200000000025</v>
      </c>
      <c r="L80" s="64">
        <f t="shared" si="18"/>
        <v>3468.1500000000024</v>
      </c>
      <c r="M80" s="56" t="e">
        <f t="shared" si="19"/>
        <v>#VALUE!</v>
      </c>
      <c r="N80" s="56" t="e">
        <f t="shared" si="20"/>
        <v>#VALUE!</v>
      </c>
      <c r="O80" s="69" t="e">
        <f t="shared" si="21"/>
        <v>#VALUE!</v>
      </c>
      <c r="P80" s="45" t="e">
        <f t="shared" si="22"/>
        <v>#VALUE!</v>
      </c>
      <c r="Q80" s="45" t="e">
        <f t="shared" si="23"/>
        <v>#VALUE!</v>
      </c>
      <c r="R80" s="45" t="e">
        <f t="shared" si="27"/>
        <v>#VALUE!</v>
      </c>
      <c r="S80" s="52">
        <v>54.07</v>
      </c>
      <c r="T80" s="56" t="e">
        <f t="shared" si="24"/>
        <v>#VALUE!</v>
      </c>
      <c r="U80" s="56" t="e">
        <f t="shared" si="9"/>
        <v>#VALUE!</v>
      </c>
      <c r="V80" s="56" t="e">
        <f t="shared" si="3"/>
        <v>#VALUE!</v>
      </c>
      <c r="W80" s="71" t="e">
        <f t="shared" si="28"/>
        <v>#VALUE!</v>
      </c>
      <c r="X80" s="56">
        <f t="shared" si="4"/>
        <v>32.570744541689557</v>
      </c>
      <c r="Y80" s="66">
        <v>1.5</v>
      </c>
      <c r="Z80" s="66">
        <v>0.5</v>
      </c>
      <c r="AA80" s="66">
        <v>0.5</v>
      </c>
      <c r="AB80" s="56" t="e">
        <f t="shared" si="10"/>
        <v>#VALUE!</v>
      </c>
      <c r="AC80" s="73" t="e">
        <f t="shared" si="5"/>
        <v>#VALUE!</v>
      </c>
      <c r="AD80" s="56" t="e">
        <f t="shared" si="25"/>
        <v>#VALUE!</v>
      </c>
      <c r="AE80" s="48" t="e">
        <f t="shared" si="6"/>
        <v>#VALUE!</v>
      </c>
      <c r="AF80" s="72">
        <f t="shared" si="26"/>
        <v>5.1111111111111107</v>
      </c>
      <c r="AG80" s="72" t="e">
        <f t="shared" si="7"/>
        <v>#VALUE!</v>
      </c>
      <c r="AH80" s="72" t="e">
        <f t="shared" si="11"/>
        <v>#VALUE!</v>
      </c>
    </row>
    <row r="81" spans="1:34" x14ac:dyDescent="0.35">
      <c r="A81" s="63">
        <f t="shared" si="12"/>
        <v>-46</v>
      </c>
      <c r="B81" s="55">
        <f t="shared" si="0"/>
        <v>248.80000000000024</v>
      </c>
      <c r="C81" s="55" t="e">
        <f t="shared" si="30"/>
        <v>#VALUE!</v>
      </c>
      <c r="D81" s="55" t="e">
        <f t="shared" si="29"/>
        <v>#VALUE!</v>
      </c>
      <c r="E81" s="74" t="e">
        <f t="shared" si="13"/>
        <v>#VALUE!</v>
      </c>
      <c r="F81" s="60">
        <f t="shared" si="14"/>
        <v>0.5</v>
      </c>
      <c r="G81" s="66">
        <v>57.25</v>
      </c>
      <c r="H81" s="56" t="e">
        <f t="shared" si="2"/>
        <v>#VALUE!</v>
      </c>
      <c r="I81" s="55" t="e">
        <f t="shared" si="15"/>
        <v>#VALUE!</v>
      </c>
      <c r="J81" s="75">
        <f t="shared" si="16"/>
        <v>0.6</v>
      </c>
      <c r="K81" s="64">
        <f t="shared" si="17"/>
        <v>3468.1500000000024</v>
      </c>
      <c r="L81" s="64">
        <f t="shared" si="18"/>
        <v>3413.0800000000022</v>
      </c>
      <c r="M81" s="56" t="e">
        <f t="shared" si="19"/>
        <v>#VALUE!</v>
      </c>
      <c r="N81" s="56" t="e">
        <f t="shared" si="20"/>
        <v>#VALUE!</v>
      </c>
      <c r="O81" s="69" t="e">
        <f t="shared" si="21"/>
        <v>#VALUE!</v>
      </c>
      <c r="P81" s="45" t="e">
        <f t="shared" si="22"/>
        <v>#VALUE!</v>
      </c>
      <c r="Q81" s="45" t="e">
        <f t="shared" si="23"/>
        <v>#VALUE!</v>
      </c>
      <c r="R81" s="45" t="e">
        <f t="shared" si="27"/>
        <v>#VALUE!</v>
      </c>
      <c r="S81" s="52">
        <v>55.07</v>
      </c>
      <c r="T81" s="56" t="e">
        <f t="shared" si="24"/>
        <v>#VALUE!</v>
      </c>
      <c r="U81" s="56" t="e">
        <f t="shared" si="9"/>
        <v>#VALUE!</v>
      </c>
      <c r="V81" s="56" t="e">
        <f t="shared" si="3"/>
        <v>#VALUE!</v>
      </c>
      <c r="W81" s="71" t="e">
        <f t="shared" si="28"/>
        <v>#VALUE!</v>
      </c>
      <c r="X81" s="56">
        <f t="shared" si="4"/>
        <v>32.870555212834482</v>
      </c>
      <c r="Y81" s="66">
        <v>1.5</v>
      </c>
      <c r="Z81" s="66">
        <v>0.5</v>
      </c>
      <c r="AA81" s="66">
        <v>0.5</v>
      </c>
      <c r="AB81" s="56" t="e">
        <f t="shared" si="10"/>
        <v>#VALUE!</v>
      </c>
      <c r="AC81" s="73" t="e">
        <f t="shared" si="5"/>
        <v>#VALUE!</v>
      </c>
      <c r="AD81" s="56" t="e">
        <f t="shared" si="25"/>
        <v>#VALUE!</v>
      </c>
      <c r="AE81" s="48" t="e">
        <f t="shared" si="6"/>
        <v>#VALUE!</v>
      </c>
      <c r="AF81" s="72">
        <f t="shared" si="26"/>
        <v>5.1111111111111107</v>
      </c>
      <c r="AG81" s="72" t="e">
        <f t="shared" si="7"/>
        <v>#VALUE!</v>
      </c>
      <c r="AH81" s="72" t="e">
        <f t="shared" si="11"/>
        <v>#VALUE!</v>
      </c>
    </row>
    <row r="82" spans="1:34" x14ac:dyDescent="0.35">
      <c r="A82" s="63">
        <f t="shared" si="12"/>
        <v>-47</v>
      </c>
      <c r="B82" s="55">
        <f t="shared" si="0"/>
        <v>243.28888888888912</v>
      </c>
      <c r="C82" s="55" t="e">
        <f t="shared" si="30"/>
        <v>#VALUE!</v>
      </c>
      <c r="D82" s="55" t="e">
        <f t="shared" si="29"/>
        <v>#VALUE!</v>
      </c>
      <c r="E82" s="74" t="e">
        <f t="shared" si="13"/>
        <v>#VALUE!</v>
      </c>
      <c r="F82" s="60">
        <f t="shared" si="14"/>
        <v>0.5</v>
      </c>
      <c r="G82" s="66">
        <v>58.25</v>
      </c>
      <c r="H82" s="56" t="e">
        <f t="shared" si="2"/>
        <v>#VALUE!</v>
      </c>
      <c r="I82" s="55" t="e">
        <f t="shared" si="15"/>
        <v>#VALUE!</v>
      </c>
      <c r="J82" s="75">
        <f t="shared" si="16"/>
        <v>0.6</v>
      </c>
      <c r="K82" s="64">
        <f t="shared" si="17"/>
        <v>3413.0800000000022</v>
      </c>
      <c r="L82" s="64">
        <f t="shared" si="18"/>
        <v>3357.010000000002</v>
      </c>
      <c r="M82" s="56" t="e">
        <f t="shared" si="19"/>
        <v>#VALUE!</v>
      </c>
      <c r="N82" s="56" t="e">
        <f t="shared" si="20"/>
        <v>#VALUE!</v>
      </c>
      <c r="O82" s="69" t="e">
        <f t="shared" si="21"/>
        <v>#VALUE!</v>
      </c>
      <c r="P82" s="45" t="e">
        <f t="shared" si="22"/>
        <v>#VALUE!</v>
      </c>
      <c r="Q82" s="45" t="e">
        <f t="shared" si="23"/>
        <v>#VALUE!</v>
      </c>
      <c r="R82" s="45" t="e">
        <f t="shared" si="27"/>
        <v>#VALUE!</v>
      </c>
      <c r="S82" s="52">
        <v>56.07</v>
      </c>
      <c r="T82" s="56" t="e">
        <f t="shared" si="24"/>
        <v>#VALUE!</v>
      </c>
      <c r="U82" s="56" t="e">
        <f t="shared" si="9"/>
        <v>#VALUE!</v>
      </c>
      <c r="V82" s="56" t="e">
        <f t="shared" si="3"/>
        <v>#VALUE!</v>
      </c>
      <c r="W82" s="71" t="e">
        <f t="shared" si="28"/>
        <v>#VALUE!</v>
      </c>
      <c r="X82" s="56">
        <f t="shared" si="4"/>
        <v>33.167655931645214</v>
      </c>
      <c r="Y82" s="66">
        <v>1.5</v>
      </c>
      <c r="Z82" s="66">
        <v>0.5</v>
      </c>
      <c r="AA82" s="66">
        <v>0.5</v>
      </c>
      <c r="AB82" s="56" t="e">
        <f t="shared" si="10"/>
        <v>#VALUE!</v>
      </c>
      <c r="AC82" s="73" t="e">
        <f t="shared" si="5"/>
        <v>#VALUE!</v>
      </c>
      <c r="AD82" s="56" t="e">
        <f t="shared" si="25"/>
        <v>#VALUE!</v>
      </c>
      <c r="AE82" s="48" t="e">
        <f t="shared" si="6"/>
        <v>#VALUE!</v>
      </c>
      <c r="AF82" s="72">
        <f t="shared" si="26"/>
        <v>5.1111111111111107</v>
      </c>
      <c r="AG82" s="72" t="e">
        <f t="shared" si="7"/>
        <v>#VALUE!</v>
      </c>
      <c r="AH82" s="72" t="e">
        <f t="shared" si="11"/>
        <v>#VALUE!</v>
      </c>
    </row>
    <row r="83" spans="1:34" x14ac:dyDescent="0.35">
      <c r="A83" s="63">
        <f t="shared" si="12"/>
        <v>-48</v>
      </c>
      <c r="B83" s="55">
        <f t="shared" si="0"/>
        <v>237.777777777778</v>
      </c>
      <c r="C83" s="55" t="e">
        <f t="shared" si="30"/>
        <v>#VALUE!</v>
      </c>
      <c r="D83" s="55" t="e">
        <f t="shared" si="29"/>
        <v>#VALUE!</v>
      </c>
      <c r="E83" s="74" t="e">
        <f t="shared" si="13"/>
        <v>#VALUE!</v>
      </c>
      <c r="F83" s="60">
        <f t="shared" si="14"/>
        <v>0.5</v>
      </c>
      <c r="G83" s="66">
        <v>59.25</v>
      </c>
      <c r="H83" s="56" t="e">
        <f t="shared" si="2"/>
        <v>#VALUE!</v>
      </c>
      <c r="I83" s="55" t="e">
        <f t="shared" si="15"/>
        <v>#VALUE!</v>
      </c>
      <c r="J83" s="75">
        <f t="shared" si="16"/>
        <v>0.6</v>
      </c>
      <c r="K83" s="64">
        <f t="shared" si="17"/>
        <v>3357.010000000002</v>
      </c>
      <c r="L83" s="64">
        <f t="shared" si="18"/>
        <v>3299.9400000000019</v>
      </c>
      <c r="M83" s="56" t="e">
        <f t="shared" si="19"/>
        <v>#VALUE!</v>
      </c>
      <c r="N83" s="56" t="e">
        <f t="shared" si="20"/>
        <v>#VALUE!</v>
      </c>
      <c r="O83" s="69" t="e">
        <f t="shared" si="21"/>
        <v>#VALUE!</v>
      </c>
      <c r="P83" s="45" t="e">
        <f t="shared" si="22"/>
        <v>#VALUE!</v>
      </c>
      <c r="Q83" s="45" t="e">
        <f t="shared" si="23"/>
        <v>#VALUE!</v>
      </c>
      <c r="R83" s="45" t="e">
        <f t="shared" si="27"/>
        <v>#VALUE!</v>
      </c>
      <c r="S83" s="52">
        <v>57.07</v>
      </c>
      <c r="T83" s="56" t="e">
        <f t="shared" si="24"/>
        <v>#VALUE!</v>
      </c>
      <c r="U83" s="56" t="e">
        <f t="shared" si="9"/>
        <v>#VALUE!</v>
      </c>
      <c r="V83" s="56" t="e">
        <f t="shared" si="3"/>
        <v>#VALUE!</v>
      </c>
      <c r="W83" s="71" t="e">
        <f t="shared" si="28"/>
        <v>#VALUE!</v>
      </c>
      <c r="X83" s="56">
        <f t="shared" si="4"/>
        <v>33.46211888090771</v>
      </c>
      <c r="Y83" s="66">
        <v>1.5</v>
      </c>
      <c r="Z83" s="66">
        <v>0.5</v>
      </c>
      <c r="AA83" s="66">
        <v>0.5</v>
      </c>
      <c r="AB83" s="56" t="e">
        <f t="shared" si="10"/>
        <v>#VALUE!</v>
      </c>
      <c r="AC83" s="73" t="e">
        <f t="shared" si="5"/>
        <v>#VALUE!</v>
      </c>
      <c r="AD83" s="56" t="e">
        <f t="shared" si="25"/>
        <v>#VALUE!</v>
      </c>
      <c r="AE83" s="48" t="e">
        <f t="shared" si="6"/>
        <v>#VALUE!</v>
      </c>
      <c r="AF83" s="72">
        <f t="shared" si="26"/>
        <v>5.1111111111111107</v>
      </c>
      <c r="AG83" s="72" t="e">
        <f t="shared" si="7"/>
        <v>#VALUE!</v>
      </c>
      <c r="AH83" s="72" t="e">
        <f t="shared" si="11"/>
        <v>#VALUE!</v>
      </c>
    </row>
    <row r="84" spans="1:34" x14ac:dyDescent="0.35">
      <c r="A84" s="63">
        <f t="shared" si="12"/>
        <v>-49</v>
      </c>
      <c r="B84" s="55">
        <f t="shared" si="0"/>
        <v>232.26666666666688</v>
      </c>
      <c r="C84" s="55" t="e">
        <f t="shared" si="30"/>
        <v>#VALUE!</v>
      </c>
      <c r="D84" s="55" t="e">
        <f t="shared" si="29"/>
        <v>#VALUE!</v>
      </c>
      <c r="E84" s="74" t="e">
        <f t="shared" si="13"/>
        <v>#VALUE!</v>
      </c>
      <c r="F84" s="60">
        <f t="shared" si="14"/>
        <v>0.5</v>
      </c>
      <c r="G84" s="66">
        <v>60.25</v>
      </c>
      <c r="H84" s="56" t="e">
        <f t="shared" si="2"/>
        <v>#VALUE!</v>
      </c>
      <c r="I84" s="55" t="e">
        <f t="shared" si="15"/>
        <v>#VALUE!</v>
      </c>
      <c r="J84" s="75">
        <f t="shared" si="16"/>
        <v>0.6</v>
      </c>
      <c r="K84" s="64">
        <f t="shared" si="17"/>
        <v>3299.9400000000019</v>
      </c>
      <c r="L84" s="64">
        <f t="shared" si="18"/>
        <v>3241.8700000000017</v>
      </c>
      <c r="M84" s="56" t="e">
        <f t="shared" si="19"/>
        <v>#VALUE!</v>
      </c>
      <c r="N84" s="56" t="e">
        <f t="shared" si="20"/>
        <v>#VALUE!</v>
      </c>
      <c r="O84" s="69" t="e">
        <f t="shared" si="21"/>
        <v>#VALUE!</v>
      </c>
      <c r="P84" s="45" t="e">
        <f t="shared" si="22"/>
        <v>#VALUE!</v>
      </c>
      <c r="Q84" s="45" t="e">
        <f t="shared" si="23"/>
        <v>#VALUE!</v>
      </c>
      <c r="R84" s="45" t="e">
        <f t="shared" si="27"/>
        <v>#VALUE!</v>
      </c>
      <c r="S84" s="52">
        <v>58.07</v>
      </c>
      <c r="T84" s="56" t="e">
        <f t="shared" si="24"/>
        <v>#VALUE!</v>
      </c>
      <c r="U84" s="56" t="e">
        <f t="shared" si="9"/>
        <v>#VALUE!</v>
      </c>
      <c r="V84" s="56" t="e">
        <f t="shared" si="3"/>
        <v>#VALUE!</v>
      </c>
      <c r="W84" s="71" t="e">
        <f t="shared" si="28"/>
        <v>#VALUE!</v>
      </c>
      <c r="X84" s="56">
        <f t="shared" si="4"/>
        <v>33.754013094741786</v>
      </c>
      <c r="Y84" s="66">
        <v>1.5</v>
      </c>
      <c r="Z84" s="66">
        <v>0.5</v>
      </c>
      <c r="AA84" s="66">
        <v>0.5</v>
      </c>
      <c r="AB84" s="56" t="e">
        <f t="shared" si="10"/>
        <v>#VALUE!</v>
      </c>
      <c r="AC84" s="73" t="e">
        <f t="shared" si="5"/>
        <v>#VALUE!</v>
      </c>
      <c r="AD84" s="56" t="e">
        <f t="shared" si="25"/>
        <v>#VALUE!</v>
      </c>
      <c r="AE84" s="48" t="e">
        <f t="shared" si="6"/>
        <v>#VALUE!</v>
      </c>
      <c r="AF84" s="72">
        <f t="shared" si="26"/>
        <v>5.1111111111111107</v>
      </c>
      <c r="AG84" s="72" t="e">
        <f t="shared" si="7"/>
        <v>#VALUE!</v>
      </c>
      <c r="AH84" s="72" t="e">
        <f t="shared" si="11"/>
        <v>#VALUE!</v>
      </c>
    </row>
    <row r="85" spans="1:34" x14ac:dyDescent="0.35">
      <c r="A85" s="63">
        <f t="shared" si="12"/>
        <v>-50</v>
      </c>
      <c r="B85" s="55">
        <f t="shared" si="0"/>
        <v>226.75555555555576</v>
      </c>
      <c r="C85" s="55" t="e">
        <f t="shared" si="30"/>
        <v>#VALUE!</v>
      </c>
      <c r="D85" s="55" t="e">
        <f t="shared" si="29"/>
        <v>#VALUE!</v>
      </c>
      <c r="E85" s="74" t="e">
        <f t="shared" si="13"/>
        <v>#VALUE!</v>
      </c>
      <c r="F85" s="60">
        <f t="shared" si="14"/>
        <v>0.5</v>
      </c>
      <c r="G85" s="66">
        <v>61.25</v>
      </c>
      <c r="H85" s="56" t="e">
        <f t="shared" si="2"/>
        <v>#VALUE!</v>
      </c>
      <c r="I85" s="55" t="e">
        <f t="shared" si="15"/>
        <v>#VALUE!</v>
      </c>
      <c r="J85" s="75">
        <f t="shared" si="16"/>
        <v>0.6</v>
      </c>
      <c r="K85" s="64">
        <f t="shared" si="17"/>
        <v>3241.8700000000017</v>
      </c>
      <c r="L85" s="64">
        <f t="shared" si="18"/>
        <v>3182.8000000000015</v>
      </c>
      <c r="M85" s="56" t="e">
        <f t="shared" si="19"/>
        <v>#VALUE!</v>
      </c>
      <c r="N85" s="56" t="e">
        <f t="shared" si="20"/>
        <v>#VALUE!</v>
      </c>
      <c r="O85" s="69" t="e">
        <f t="shared" si="21"/>
        <v>#VALUE!</v>
      </c>
      <c r="P85" s="45" t="e">
        <f t="shared" si="22"/>
        <v>#VALUE!</v>
      </c>
      <c r="Q85" s="45" t="e">
        <f t="shared" si="23"/>
        <v>#VALUE!</v>
      </c>
      <c r="R85" s="45" t="e">
        <f t="shared" si="27"/>
        <v>#VALUE!</v>
      </c>
      <c r="S85" s="52">
        <v>59.07</v>
      </c>
      <c r="T85" s="56" t="e">
        <f t="shared" si="24"/>
        <v>#VALUE!</v>
      </c>
      <c r="U85" s="56" t="e">
        <f t="shared" si="9"/>
        <v>#VALUE!</v>
      </c>
      <c r="V85" s="56" t="e">
        <f t="shared" si="3"/>
        <v>#VALUE!</v>
      </c>
      <c r="W85" s="71" t="e">
        <f t="shared" si="28"/>
        <v>#VALUE!</v>
      </c>
      <c r="X85" s="56">
        <f t="shared" si="4"/>
        <v>34.043404647596574</v>
      </c>
      <c r="Y85" s="66">
        <v>1.5</v>
      </c>
      <c r="Z85" s="66">
        <v>0.5</v>
      </c>
      <c r="AA85" s="66">
        <v>0.5</v>
      </c>
      <c r="AB85" s="56" t="e">
        <f t="shared" si="10"/>
        <v>#VALUE!</v>
      </c>
      <c r="AC85" s="73" t="e">
        <f t="shared" si="5"/>
        <v>#VALUE!</v>
      </c>
      <c r="AD85" s="56" t="e">
        <f t="shared" si="25"/>
        <v>#VALUE!</v>
      </c>
      <c r="AE85" s="48" t="e">
        <f t="shared" si="6"/>
        <v>#VALUE!</v>
      </c>
      <c r="AF85" s="72">
        <f t="shared" si="26"/>
        <v>5.1111111111111107</v>
      </c>
      <c r="AG85" s="72" t="e">
        <f t="shared" si="7"/>
        <v>#VALUE!</v>
      </c>
      <c r="AH85" s="72" t="e">
        <f t="shared" si="11"/>
        <v>#VALUE!</v>
      </c>
    </row>
    <row r="86" spans="1:34" x14ac:dyDescent="0.35">
      <c r="A86" s="63">
        <f t="shared" si="12"/>
        <v>-51</v>
      </c>
      <c r="B86" s="55">
        <f t="shared" si="0"/>
        <v>221.24444444444464</v>
      </c>
      <c r="C86" s="55" t="e">
        <f t="shared" si="30"/>
        <v>#VALUE!</v>
      </c>
      <c r="D86" s="55" t="e">
        <f t="shared" si="29"/>
        <v>#VALUE!</v>
      </c>
      <c r="E86" s="74" t="e">
        <f t="shared" si="13"/>
        <v>#VALUE!</v>
      </c>
      <c r="F86" s="60">
        <f t="shared" si="14"/>
        <v>0.5</v>
      </c>
      <c r="G86" s="66">
        <v>62.25</v>
      </c>
      <c r="H86" s="56" t="e">
        <f t="shared" si="2"/>
        <v>#VALUE!</v>
      </c>
      <c r="I86" s="55" t="e">
        <f t="shared" si="15"/>
        <v>#VALUE!</v>
      </c>
      <c r="J86" s="75">
        <f t="shared" si="16"/>
        <v>0.6</v>
      </c>
      <c r="K86" s="64">
        <f t="shared" si="17"/>
        <v>3182.8000000000015</v>
      </c>
      <c r="L86" s="64">
        <f t="shared" si="18"/>
        <v>3122.7300000000014</v>
      </c>
      <c r="M86" s="56" t="e">
        <f t="shared" si="19"/>
        <v>#VALUE!</v>
      </c>
      <c r="N86" s="56" t="e">
        <f t="shared" si="20"/>
        <v>#VALUE!</v>
      </c>
      <c r="O86" s="69" t="e">
        <f t="shared" si="21"/>
        <v>#VALUE!</v>
      </c>
      <c r="P86" s="45" t="e">
        <f t="shared" si="22"/>
        <v>#VALUE!</v>
      </c>
      <c r="Q86" s="45" t="e">
        <f t="shared" si="23"/>
        <v>#VALUE!</v>
      </c>
      <c r="R86" s="45" t="e">
        <f t="shared" si="27"/>
        <v>#VALUE!</v>
      </c>
      <c r="S86" s="52">
        <v>60.07</v>
      </c>
      <c r="T86" s="56" t="e">
        <f t="shared" si="24"/>
        <v>#VALUE!</v>
      </c>
      <c r="U86" s="56" t="e">
        <f t="shared" si="9"/>
        <v>#VALUE!</v>
      </c>
      <c r="V86" s="56" t="e">
        <f t="shared" si="3"/>
        <v>#VALUE!</v>
      </c>
      <c r="W86" s="71" t="e">
        <f t="shared" si="28"/>
        <v>#VALUE!</v>
      </c>
      <c r="X86" s="56">
        <f t="shared" si="4"/>
        <v>34.330356828905813</v>
      </c>
      <c r="Y86" s="66">
        <v>1.5</v>
      </c>
      <c r="Z86" s="66">
        <v>0.5</v>
      </c>
      <c r="AA86" s="66">
        <v>0.5</v>
      </c>
      <c r="AB86" s="56" t="e">
        <f t="shared" si="10"/>
        <v>#VALUE!</v>
      </c>
      <c r="AC86" s="73" t="e">
        <f t="shared" si="5"/>
        <v>#VALUE!</v>
      </c>
      <c r="AD86" s="56" t="e">
        <f t="shared" si="25"/>
        <v>#VALUE!</v>
      </c>
      <c r="AE86" s="48" t="e">
        <f t="shared" si="6"/>
        <v>#VALUE!</v>
      </c>
      <c r="AF86" s="72">
        <f t="shared" si="26"/>
        <v>5.1111111111111107</v>
      </c>
      <c r="AG86" s="72" t="e">
        <f t="shared" si="7"/>
        <v>#VALUE!</v>
      </c>
      <c r="AH86" s="72" t="e">
        <f t="shared" si="11"/>
        <v>#VALUE!</v>
      </c>
    </row>
    <row r="87" spans="1:34" x14ac:dyDescent="0.35">
      <c r="A87" s="63">
        <f t="shared" si="12"/>
        <v>-52</v>
      </c>
      <c r="B87" s="55">
        <f t="shared" si="0"/>
        <v>215.73333333333352</v>
      </c>
      <c r="C87" s="55" t="e">
        <f t="shared" si="30"/>
        <v>#VALUE!</v>
      </c>
      <c r="D87" s="55" t="e">
        <f t="shared" si="29"/>
        <v>#VALUE!</v>
      </c>
      <c r="E87" s="74" t="e">
        <f t="shared" si="13"/>
        <v>#VALUE!</v>
      </c>
      <c r="F87" s="60">
        <f t="shared" si="14"/>
        <v>0.5</v>
      </c>
      <c r="G87" s="66">
        <v>63.25</v>
      </c>
      <c r="H87" s="56" t="e">
        <f t="shared" si="2"/>
        <v>#VALUE!</v>
      </c>
      <c r="I87" s="55" t="e">
        <f t="shared" si="15"/>
        <v>#VALUE!</v>
      </c>
      <c r="J87" s="75">
        <f t="shared" si="16"/>
        <v>0.6</v>
      </c>
      <c r="K87" s="64">
        <f t="shared" si="17"/>
        <v>3122.7300000000014</v>
      </c>
      <c r="L87" s="64">
        <f t="shared" si="18"/>
        <v>3061.6600000000012</v>
      </c>
      <c r="M87" s="56" t="e">
        <f t="shared" si="19"/>
        <v>#VALUE!</v>
      </c>
      <c r="N87" s="56" t="e">
        <f t="shared" si="20"/>
        <v>#VALUE!</v>
      </c>
      <c r="O87" s="69" t="e">
        <f t="shared" si="21"/>
        <v>#VALUE!</v>
      </c>
      <c r="P87" s="45" t="e">
        <f t="shared" si="22"/>
        <v>#VALUE!</v>
      </c>
      <c r="Q87" s="45" t="e">
        <f t="shared" si="23"/>
        <v>#VALUE!</v>
      </c>
      <c r="R87" s="45" t="e">
        <f t="shared" si="27"/>
        <v>#VALUE!</v>
      </c>
      <c r="S87" s="52">
        <v>61.07</v>
      </c>
      <c r="T87" s="56" t="e">
        <f t="shared" si="24"/>
        <v>#VALUE!</v>
      </c>
      <c r="U87" s="56" t="e">
        <f t="shared" si="9"/>
        <v>#VALUE!</v>
      </c>
      <c r="V87" s="56" t="e">
        <f t="shared" si="3"/>
        <v>#VALUE!</v>
      </c>
      <c r="W87" s="71" t="e">
        <f t="shared" si="28"/>
        <v>#VALUE!</v>
      </c>
      <c r="X87" s="56">
        <f t="shared" si="4"/>
        <v>34.614930304711002</v>
      </c>
      <c r="Y87" s="66">
        <v>1.5</v>
      </c>
      <c r="Z87" s="66">
        <v>0.5</v>
      </c>
      <c r="AA87" s="66">
        <v>0.5</v>
      </c>
      <c r="AB87" s="56" t="e">
        <f t="shared" si="10"/>
        <v>#VALUE!</v>
      </c>
      <c r="AC87" s="73" t="e">
        <f t="shared" si="5"/>
        <v>#VALUE!</v>
      </c>
      <c r="AD87" s="56" t="e">
        <f t="shared" si="25"/>
        <v>#VALUE!</v>
      </c>
      <c r="AE87" s="48" t="e">
        <f t="shared" si="6"/>
        <v>#VALUE!</v>
      </c>
      <c r="AF87" s="72">
        <f t="shared" si="26"/>
        <v>5.1111111111111107</v>
      </c>
      <c r="AG87" s="72" t="e">
        <f t="shared" si="7"/>
        <v>#VALUE!</v>
      </c>
      <c r="AH87" s="72" t="e">
        <f t="shared" si="11"/>
        <v>#VALUE!</v>
      </c>
    </row>
    <row r="88" spans="1:34" x14ac:dyDescent="0.35">
      <c r="A88" s="63">
        <f t="shared" si="12"/>
        <v>-53</v>
      </c>
      <c r="B88" s="55">
        <f t="shared" si="0"/>
        <v>210.2222222222224</v>
      </c>
      <c r="C88" s="55" t="e">
        <f t="shared" si="30"/>
        <v>#VALUE!</v>
      </c>
      <c r="D88" s="55" t="e">
        <f t="shared" si="29"/>
        <v>#VALUE!</v>
      </c>
      <c r="E88" s="74" t="e">
        <f t="shared" si="13"/>
        <v>#VALUE!</v>
      </c>
      <c r="F88" s="60">
        <f t="shared" si="14"/>
        <v>0.5</v>
      </c>
      <c r="G88" s="66">
        <v>64.25</v>
      </c>
      <c r="H88" s="56" t="e">
        <f t="shared" si="2"/>
        <v>#VALUE!</v>
      </c>
      <c r="I88" s="55" t="e">
        <f t="shared" si="15"/>
        <v>#VALUE!</v>
      </c>
      <c r="J88" s="75">
        <f t="shared" si="16"/>
        <v>0.6</v>
      </c>
      <c r="K88" s="64">
        <f t="shared" si="17"/>
        <v>3061.6600000000012</v>
      </c>
      <c r="L88" s="64">
        <f t="shared" si="18"/>
        <v>2999.5900000000011</v>
      </c>
      <c r="M88" s="56" t="e">
        <f t="shared" si="19"/>
        <v>#VALUE!</v>
      </c>
      <c r="N88" s="56" t="e">
        <f t="shared" si="20"/>
        <v>#VALUE!</v>
      </c>
      <c r="O88" s="69" t="e">
        <f t="shared" si="21"/>
        <v>#VALUE!</v>
      </c>
      <c r="P88" s="45" t="e">
        <f t="shared" si="22"/>
        <v>#VALUE!</v>
      </c>
      <c r="Q88" s="45" t="e">
        <f t="shared" si="23"/>
        <v>#VALUE!</v>
      </c>
      <c r="R88" s="45" t="e">
        <f t="shared" si="27"/>
        <v>#VALUE!</v>
      </c>
      <c r="S88" s="52">
        <v>62.07</v>
      </c>
      <c r="T88" s="56" t="e">
        <f t="shared" si="24"/>
        <v>#VALUE!</v>
      </c>
      <c r="U88" s="56" t="e">
        <f t="shared" si="9"/>
        <v>#VALUE!</v>
      </c>
      <c r="V88" s="56" t="e">
        <f t="shared" si="3"/>
        <v>#VALUE!</v>
      </c>
      <c r="W88" s="71" t="e">
        <f t="shared" si="28"/>
        <v>#VALUE!</v>
      </c>
      <c r="X88" s="56">
        <f t="shared" si="4"/>
        <v>34.897183267421454</v>
      </c>
      <c r="Y88" s="66">
        <v>1.5</v>
      </c>
      <c r="Z88" s="66">
        <v>0.5</v>
      </c>
      <c r="AA88" s="66">
        <v>0.5</v>
      </c>
      <c r="AB88" s="56" t="e">
        <f t="shared" si="10"/>
        <v>#VALUE!</v>
      </c>
      <c r="AC88" s="73" t="e">
        <f t="shared" si="5"/>
        <v>#VALUE!</v>
      </c>
      <c r="AD88" s="56" t="e">
        <f t="shared" si="25"/>
        <v>#VALUE!</v>
      </c>
      <c r="AE88" s="48" t="e">
        <f t="shared" si="6"/>
        <v>#VALUE!</v>
      </c>
      <c r="AF88" s="72">
        <f t="shared" si="26"/>
        <v>5.1111111111111107</v>
      </c>
      <c r="AG88" s="72" t="e">
        <f t="shared" si="7"/>
        <v>#VALUE!</v>
      </c>
      <c r="AH88" s="72" t="e">
        <f t="shared" si="11"/>
        <v>#VALUE!</v>
      </c>
    </row>
    <row r="89" spans="1:34" x14ac:dyDescent="0.35">
      <c r="A89" s="63">
        <f t="shared" si="12"/>
        <v>-54</v>
      </c>
      <c r="B89" s="55">
        <f t="shared" ref="B89:B127" si="31">IF(A89=1,0,B90+AF89+$F$18)</f>
        <v>204.71111111111128</v>
      </c>
      <c r="C89" s="55" t="e">
        <f t="shared" si="30"/>
        <v>#VALUE!</v>
      </c>
      <c r="D89" s="55" t="e">
        <f t="shared" ref="D89:D120" si="32">C89-$F$18*$N$10</f>
        <v>#VALUE!</v>
      </c>
      <c r="E89" s="74" t="e">
        <f t="shared" si="13"/>
        <v>#VALUE!</v>
      </c>
      <c r="F89" s="60">
        <f t="shared" si="14"/>
        <v>0.5</v>
      </c>
      <c r="G89" s="66">
        <v>65.25</v>
      </c>
      <c r="H89" s="56" t="e">
        <f t="shared" ref="H89:H125" si="33">IF(L89&gt;E89,(1-((L89-E89)/(K89-E89))^$F$19)^0.5,1)</f>
        <v>#VALUE!</v>
      </c>
      <c r="I89" s="55" t="e">
        <f t="shared" si="15"/>
        <v>#VALUE!</v>
      </c>
      <c r="J89" s="75">
        <f t="shared" si="16"/>
        <v>0.6</v>
      </c>
      <c r="K89" s="64">
        <f t="shared" si="17"/>
        <v>2999.5900000000011</v>
      </c>
      <c r="L89" s="64">
        <f t="shared" si="18"/>
        <v>2936.5200000000009</v>
      </c>
      <c r="M89" s="56" t="e">
        <f t="shared" si="19"/>
        <v>#VALUE!</v>
      </c>
      <c r="N89" s="56" t="e">
        <f t="shared" si="20"/>
        <v>#VALUE!</v>
      </c>
      <c r="O89" s="69" t="e">
        <f t="shared" si="21"/>
        <v>#VALUE!</v>
      </c>
      <c r="P89" s="45" t="e">
        <f t="shared" si="22"/>
        <v>#VALUE!</v>
      </c>
      <c r="Q89" s="45" t="e">
        <f t="shared" si="23"/>
        <v>#VALUE!</v>
      </c>
      <c r="R89" s="45" t="e">
        <f t="shared" si="27"/>
        <v>#VALUE!</v>
      </c>
      <c r="S89" s="52">
        <v>63.07</v>
      </c>
      <c r="T89" s="56" t="e">
        <f t="shared" si="24"/>
        <v>#VALUE!</v>
      </c>
      <c r="U89" s="56" t="e">
        <f t="shared" si="9"/>
        <v>#VALUE!</v>
      </c>
      <c r="V89" s="56" t="e">
        <f t="shared" ref="V89:V125" si="34">IF(K89&gt;E89,SQRT(2*9.81)*SQRT((K89-E89)^3)*F89*G89*H89*2/3,0)</f>
        <v>#VALUE!</v>
      </c>
      <c r="W89" s="71" t="e">
        <f t="shared" si="28"/>
        <v>#VALUE!</v>
      </c>
      <c r="X89" s="56">
        <f t="shared" ref="X89:X125" si="35">(2*9.81*S89)^0.5</f>
        <v>35.177171574758539</v>
      </c>
      <c r="Y89" s="66">
        <v>1.5</v>
      </c>
      <c r="Z89" s="66">
        <v>0.5</v>
      </c>
      <c r="AA89" s="66">
        <v>0.5</v>
      </c>
      <c r="AB89" s="56" t="e">
        <f t="shared" si="10"/>
        <v>#VALUE!</v>
      </c>
      <c r="AC89" s="73" t="e">
        <f t="shared" ref="AC89:AC125" si="36">IF(A89=1," ",9810*S89*W89/(AE89*AF89))</f>
        <v>#VALUE!</v>
      </c>
      <c r="AD89" s="56" t="e">
        <f t="shared" si="25"/>
        <v>#VALUE!</v>
      </c>
      <c r="AE89" s="48" t="e">
        <f t="shared" ref="AE89:AE125" si="37">IF(A89=1," ",(((L89-D89)*(Y89+0.5*(L89-D89)*(Z89+AA89))+(K90-C90)*(Y89+0.5*(K90-C90)*(Z89+AA89)))/2))</f>
        <v>#VALUE!</v>
      </c>
      <c r="AF89" s="72">
        <f t="shared" si="26"/>
        <v>5.1111111111111107</v>
      </c>
      <c r="AG89" s="72" t="e">
        <f t="shared" ref="AG89:AG125" si="38">IF(A89=1," ",W89/AE89)</f>
        <v>#VALUE!</v>
      </c>
      <c r="AH89" s="72" t="e">
        <f t="shared" si="11"/>
        <v>#VALUE!</v>
      </c>
    </row>
    <row r="90" spans="1:34" x14ac:dyDescent="0.35">
      <c r="A90" s="63">
        <f t="shared" si="12"/>
        <v>-55</v>
      </c>
      <c r="B90" s="55">
        <f t="shared" si="31"/>
        <v>199.20000000000016</v>
      </c>
      <c r="C90" s="55" t="e">
        <f t="shared" ref="C90:C125" si="39">C89-((AF89+$F$18)*$N$10)</f>
        <v>#VALUE!</v>
      </c>
      <c r="D90" s="55" t="e">
        <f t="shared" si="32"/>
        <v>#VALUE!</v>
      </c>
      <c r="E90" s="74" t="e">
        <f t="shared" si="13"/>
        <v>#VALUE!</v>
      </c>
      <c r="F90" s="60">
        <f t="shared" si="14"/>
        <v>0.5</v>
      </c>
      <c r="G90" s="66">
        <v>66.25</v>
      </c>
      <c r="H90" s="56" t="e">
        <f t="shared" si="33"/>
        <v>#VALUE!</v>
      </c>
      <c r="I90" s="55" t="e">
        <f t="shared" si="15"/>
        <v>#VALUE!</v>
      </c>
      <c r="J90" s="75">
        <f t="shared" si="16"/>
        <v>0.6</v>
      </c>
      <c r="K90" s="64">
        <f t="shared" si="17"/>
        <v>2936.5200000000009</v>
      </c>
      <c r="L90" s="64">
        <f t="shared" si="18"/>
        <v>2872.4500000000007</v>
      </c>
      <c r="M90" s="56" t="e">
        <f t="shared" si="19"/>
        <v>#VALUE!</v>
      </c>
      <c r="N90" s="56" t="e">
        <f t="shared" si="20"/>
        <v>#VALUE!</v>
      </c>
      <c r="O90" s="69" t="e">
        <f t="shared" si="21"/>
        <v>#VALUE!</v>
      </c>
      <c r="P90" s="45" t="e">
        <f t="shared" si="22"/>
        <v>#VALUE!</v>
      </c>
      <c r="Q90" s="45" t="e">
        <f t="shared" si="23"/>
        <v>#VALUE!</v>
      </c>
      <c r="R90" s="45" t="e">
        <f t="shared" si="27"/>
        <v>#VALUE!</v>
      </c>
      <c r="S90" s="52">
        <v>64.069999999999993</v>
      </c>
      <c r="T90" s="56" t="e">
        <f t="shared" ref="T90:T122" si="40">IF((N90/M90)&lt;0.5,1,IF((N90/M90)&gt;1,0,1-(N90/M90)^11))</f>
        <v>#VALUE!</v>
      </c>
      <c r="U90" s="56" t="e">
        <f t="shared" ref="U90:U124" si="41">IF((N90+$F$16)/(M90+$F$16)&lt;0.5,1,IF((N90+$F$16)/(M90+$F$16)&gt;1,0,1-((N90+$F$16)/(M90+$F$16))^11))</f>
        <v>#VALUE!</v>
      </c>
      <c r="V90" s="56" t="e">
        <f t="shared" si="34"/>
        <v>#VALUE!</v>
      </c>
      <c r="W90" s="71" t="e">
        <f t="shared" si="28"/>
        <v>#VALUE!</v>
      </c>
      <c r="X90" s="56">
        <f t="shared" si="35"/>
        <v>35.454948878823672</v>
      </c>
      <c r="Y90" s="66">
        <v>1.5</v>
      </c>
      <c r="Z90" s="66">
        <v>0.5</v>
      </c>
      <c r="AA90" s="66">
        <v>0.5</v>
      </c>
      <c r="AB90" s="56" t="e">
        <f t="shared" ref="AB90:AB123" si="42">Y90+(E90-D90)*(Z90+AA90)</f>
        <v>#VALUE!</v>
      </c>
      <c r="AC90" s="73" t="e">
        <f t="shared" si="36"/>
        <v>#VALUE!</v>
      </c>
      <c r="AD90" s="56" t="e">
        <f t="shared" si="25"/>
        <v>#VALUE!</v>
      </c>
      <c r="AE90" s="48" t="e">
        <f t="shared" si="37"/>
        <v>#VALUE!</v>
      </c>
      <c r="AF90" s="72">
        <f t="shared" si="26"/>
        <v>5.1111111111111107</v>
      </c>
      <c r="AG90" s="72" t="e">
        <f t="shared" si="38"/>
        <v>#VALUE!</v>
      </c>
      <c r="AH90" s="72" t="e">
        <f t="shared" ref="AH90:AH121" si="43">IF(A90=1," ",IF(OR((K90-C90)&lt;1.5*$F$14,(K90-C90)=1.5*$F$14),"Okay","Achtung!"))</f>
        <v>#VALUE!</v>
      </c>
    </row>
    <row r="91" spans="1:34" x14ac:dyDescent="0.35">
      <c r="A91" s="63">
        <f t="shared" ref="A91:A125" si="44">A90-1</f>
        <v>-56</v>
      </c>
      <c r="B91" s="55">
        <f t="shared" si="31"/>
        <v>193.68888888888904</v>
      </c>
      <c r="C91" s="55" t="e">
        <f t="shared" si="39"/>
        <v>#VALUE!</v>
      </c>
      <c r="D91" s="55" t="e">
        <f t="shared" si="32"/>
        <v>#VALUE!</v>
      </c>
      <c r="E91" s="74" t="e">
        <f t="shared" ref="E91:E125" si="45">C91+$F$14</f>
        <v>#VALUE!</v>
      </c>
      <c r="F91" s="60">
        <f t="shared" ref="F91:F125" si="46">F90</f>
        <v>0.5</v>
      </c>
      <c r="G91" s="66">
        <v>67.25</v>
      </c>
      <c r="H91" s="56" t="e">
        <f t="shared" si="33"/>
        <v>#VALUE!</v>
      </c>
      <c r="I91" s="55" t="e">
        <f t="shared" ref="I91:I125" si="47">C91+$F$16</f>
        <v>#VALUE!</v>
      </c>
      <c r="J91" s="75">
        <f t="shared" ref="J91:J125" si="48">J90</f>
        <v>0.6</v>
      </c>
      <c r="K91" s="64">
        <f t="shared" ref="K91:K125" si="49">L91+S91</f>
        <v>2872.4500000000007</v>
      </c>
      <c r="L91" s="64">
        <f t="shared" ref="L91:L125" si="50">IF(A91=1,$F$13,K92)</f>
        <v>2807.3800000000006</v>
      </c>
      <c r="M91" s="56" t="e">
        <f t="shared" ref="M91:M125" si="51">K91-I91</f>
        <v>#VALUE!</v>
      </c>
      <c r="N91" s="56" t="e">
        <f t="shared" ref="N91:N125" si="52">L91-I91</f>
        <v>#VALUE!</v>
      </c>
      <c r="O91" s="69" t="e">
        <f t="shared" ref="O91:O121" si="53">N91+$F$16-$F$20/9</f>
        <v>#VALUE!</v>
      </c>
      <c r="P91" s="45" t="e">
        <f t="shared" ref="P91:P125" si="54">(((M91+$F$16)^(3/2)*SQRT(2*9.81)*($F$15-$F$17)*U91*0.55*2/3)^2/((9.81*($F$15-$F$17+0.0000001)^2)))^(1/3)</f>
        <v>#VALUE!</v>
      </c>
      <c r="Q91" s="45" t="e">
        <f t="shared" ref="Q91:Q126" si="55">((M91^(3/2)*SQRT(2*9.81)*$F$17*T91*J91*2/3)^2/(9.81*(IF($F$17=0,0.000001,$F$17))^2))^(1/3)</f>
        <v>#VALUE!</v>
      </c>
      <c r="R91" s="45" t="e">
        <f t="shared" si="27"/>
        <v>#VALUE!</v>
      </c>
      <c r="S91" s="52">
        <v>65.069999999999993</v>
      </c>
      <c r="T91" s="56" t="e">
        <f t="shared" si="40"/>
        <v>#VALUE!</v>
      </c>
      <c r="U91" s="56" t="e">
        <f t="shared" si="41"/>
        <v>#VALUE!</v>
      </c>
      <c r="V91" s="56" t="e">
        <f t="shared" si="34"/>
        <v>#VALUE!</v>
      </c>
      <c r="W91" s="71" t="e">
        <f t="shared" si="28"/>
        <v>#VALUE!</v>
      </c>
      <c r="X91" s="56">
        <f t="shared" si="35"/>
        <v>35.730566746134883</v>
      </c>
      <c r="Y91" s="66">
        <v>1.5</v>
      </c>
      <c r="Z91" s="66">
        <v>0.5</v>
      </c>
      <c r="AA91" s="66">
        <v>0.5</v>
      </c>
      <c r="AB91" s="56" t="e">
        <f t="shared" si="42"/>
        <v>#VALUE!</v>
      </c>
      <c r="AC91" s="73" t="e">
        <f t="shared" si="36"/>
        <v>#VALUE!</v>
      </c>
      <c r="AD91" s="56" t="e">
        <f t="shared" ref="AD91:AD125" si="56">IF(A91=1," ",((L91-D91)+(K92-C92))/2)</f>
        <v>#VALUE!</v>
      </c>
      <c r="AE91" s="48" t="e">
        <f t="shared" si="37"/>
        <v>#VALUE!</v>
      </c>
      <c r="AF91" s="72">
        <f t="shared" ref="AF91:AF125" si="57">IF(A91=1," ",($F$8-$F$18)/($F$9-1)-$F$18)</f>
        <v>5.1111111111111107</v>
      </c>
      <c r="AG91" s="72" t="e">
        <f t="shared" si="38"/>
        <v>#VALUE!</v>
      </c>
      <c r="AH91" s="72" t="e">
        <f t="shared" si="43"/>
        <v>#VALUE!</v>
      </c>
    </row>
    <row r="92" spans="1:34" x14ac:dyDescent="0.35">
      <c r="A92" s="63">
        <f t="shared" si="44"/>
        <v>-57</v>
      </c>
      <c r="B92" s="55">
        <f t="shared" si="31"/>
        <v>188.17777777777792</v>
      </c>
      <c r="C92" s="55" t="e">
        <f t="shared" si="39"/>
        <v>#VALUE!</v>
      </c>
      <c r="D92" s="55" t="e">
        <f t="shared" si="32"/>
        <v>#VALUE!</v>
      </c>
      <c r="E92" s="74" t="e">
        <f t="shared" si="45"/>
        <v>#VALUE!</v>
      </c>
      <c r="F92" s="60">
        <f t="shared" si="46"/>
        <v>0.5</v>
      </c>
      <c r="G92" s="66">
        <v>68.25</v>
      </c>
      <c r="H92" s="56" t="e">
        <f t="shared" si="33"/>
        <v>#VALUE!</v>
      </c>
      <c r="I92" s="55" t="e">
        <f t="shared" si="47"/>
        <v>#VALUE!</v>
      </c>
      <c r="J92" s="75">
        <f t="shared" si="48"/>
        <v>0.6</v>
      </c>
      <c r="K92" s="64">
        <f t="shared" si="49"/>
        <v>2807.3800000000006</v>
      </c>
      <c r="L92" s="64">
        <f t="shared" si="50"/>
        <v>2741.3100000000004</v>
      </c>
      <c r="M92" s="56" t="e">
        <f t="shared" si="51"/>
        <v>#VALUE!</v>
      </c>
      <c r="N92" s="56" t="e">
        <f t="shared" si="52"/>
        <v>#VALUE!</v>
      </c>
      <c r="O92" s="69" t="e">
        <f t="shared" si="53"/>
        <v>#VALUE!</v>
      </c>
      <c r="P92" s="45" t="e">
        <f t="shared" si="54"/>
        <v>#VALUE!</v>
      </c>
      <c r="Q92" s="45" t="e">
        <f t="shared" si="55"/>
        <v>#VALUE!</v>
      </c>
      <c r="R92" s="45" t="e">
        <f t="shared" ref="R92:R120" si="58">IF(AND(P92&lt;O92,Q92&lt;N92),"okay",IF(OR(P92&lt;O92,Q92&lt;N92),IF(F$17&lt;F$15,"tlw.okay","nicht okay"),"nicht okay"))</f>
        <v>#VALUE!</v>
      </c>
      <c r="S92" s="52">
        <v>66.069999999999993</v>
      </c>
      <c r="T92" s="56" t="e">
        <f t="shared" si="40"/>
        <v>#VALUE!</v>
      </c>
      <c r="U92" s="56" t="e">
        <f t="shared" si="41"/>
        <v>#VALUE!</v>
      </c>
      <c r="V92" s="56" t="e">
        <f t="shared" si="34"/>
        <v>#VALUE!</v>
      </c>
      <c r="W92" s="71" t="e">
        <f t="shared" si="28"/>
        <v>#VALUE!</v>
      </c>
      <c r="X92" s="56">
        <f t="shared" si="35"/>
        <v>36.004074769392425</v>
      </c>
      <c r="Y92" s="66">
        <v>1.5</v>
      </c>
      <c r="Z92" s="66">
        <v>0.5</v>
      </c>
      <c r="AA92" s="66">
        <v>0.5</v>
      </c>
      <c r="AB92" s="56" t="e">
        <f t="shared" si="42"/>
        <v>#VALUE!</v>
      </c>
      <c r="AC92" s="73" t="e">
        <f t="shared" si="36"/>
        <v>#VALUE!</v>
      </c>
      <c r="AD92" s="56" t="e">
        <f t="shared" si="56"/>
        <v>#VALUE!</v>
      </c>
      <c r="AE92" s="48" t="e">
        <f t="shared" si="37"/>
        <v>#VALUE!</v>
      </c>
      <c r="AF92" s="72">
        <f t="shared" si="57"/>
        <v>5.1111111111111107</v>
      </c>
      <c r="AG92" s="72" t="e">
        <f t="shared" si="38"/>
        <v>#VALUE!</v>
      </c>
      <c r="AH92" s="72" t="e">
        <f t="shared" si="43"/>
        <v>#VALUE!</v>
      </c>
    </row>
    <row r="93" spans="1:34" x14ac:dyDescent="0.35">
      <c r="A93" s="63">
        <f t="shared" si="44"/>
        <v>-58</v>
      </c>
      <c r="B93" s="55">
        <f t="shared" si="31"/>
        <v>182.6666666666668</v>
      </c>
      <c r="C93" s="55" t="e">
        <f t="shared" si="39"/>
        <v>#VALUE!</v>
      </c>
      <c r="D93" s="55" t="e">
        <f t="shared" si="32"/>
        <v>#VALUE!</v>
      </c>
      <c r="E93" s="74" t="e">
        <f t="shared" si="45"/>
        <v>#VALUE!</v>
      </c>
      <c r="F93" s="60">
        <f t="shared" si="46"/>
        <v>0.5</v>
      </c>
      <c r="G93" s="66">
        <v>69.25</v>
      </c>
      <c r="H93" s="56" t="e">
        <f t="shared" si="33"/>
        <v>#VALUE!</v>
      </c>
      <c r="I93" s="55" t="e">
        <f t="shared" si="47"/>
        <v>#VALUE!</v>
      </c>
      <c r="J93" s="75">
        <f t="shared" si="48"/>
        <v>0.6</v>
      </c>
      <c r="K93" s="64">
        <f t="shared" si="49"/>
        <v>2741.3100000000004</v>
      </c>
      <c r="L93" s="64">
        <f t="shared" si="50"/>
        <v>2674.2400000000002</v>
      </c>
      <c r="M93" s="56" t="e">
        <f t="shared" si="51"/>
        <v>#VALUE!</v>
      </c>
      <c r="N93" s="56" t="e">
        <f t="shared" si="52"/>
        <v>#VALUE!</v>
      </c>
      <c r="O93" s="69" t="e">
        <f t="shared" si="53"/>
        <v>#VALUE!</v>
      </c>
      <c r="P93" s="45" t="e">
        <f t="shared" si="54"/>
        <v>#VALUE!</v>
      </c>
      <c r="Q93" s="45" t="e">
        <f t="shared" si="55"/>
        <v>#VALUE!</v>
      </c>
      <c r="R93" s="45" t="e">
        <f t="shared" si="58"/>
        <v>#VALUE!</v>
      </c>
      <c r="S93" s="52">
        <v>67.069999999999993</v>
      </c>
      <c r="T93" s="56" t="e">
        <f t="shared" si="40"/>
        <v>#VALUE!</v>
      </c>
      <c r="U93" s="56" t="e">
        <f t="shared" si="41"/>
        <v>#VALUE!</v>
      </c>
      <c r="V93" s="56" t="e">
        <f t="shared" si="34"/>
        <v>#VALUE!</v>
      </c>
      <c r="W93" s="71" t="e">
        <f t="shared" ref="W93:W119" si="59">IF(M93&gt;0,M93^(3/2)*SQRT(2*9.81)*$F$17*T93*J93*2/3*$F$21,0)+(M93+$F$16)^(3/2)*SQRT(2*9.81)*($F$15-$F$17)*U93*0.55*2/3*$F$21+V93</f>
        <v>#VALUE!</v>
      </c>
      <c r="X93" s="56">
        <f t="shared" si="35"/>
        <v>36.275520671659557</v>
      </c>
      <c r="Y93" s="66">
        <v>1.5</v>
      </c>
      <c r="Z93" s="66">
        <v>0.5</v>
      </c>
      <c r="AA93" s="66">
        <v>0.5</v>
      </c>
      <c r="AB93" s="56" t="e">
        <f t="shared" si="42"/>
        <v>#VALUE!</v>
      </c>
      <c r="AC93" s="73" t="e">
        <f t="shared" si="36"/>
        <v>#VALUE!</v>
      </c>
      <c r="AD93" s="56" t="e">
        <f t="shared" si="56"/>
        <v>#VALUE!</v>
      </c>
      <c r="AE93" s="48" t="e">
        <f t="shared" si="37"/>
        <v>#VALUE!</v>
      </c>
      <c r="AF93" s="72">
        <f t="shared" si="57"/>
        <v>5.1111111111111107</v>
      </c>
      <c r="AG93" s="72" t="e">
        <f t="shared" si="38"/>
        <v>#VALUE!</v>
      </c>
      <c r="AH93" s="72" t="e">
        <f t="shared" si="43"/>
        <v>#VALUE!</v>
      </c>
    </row>
    <row r="94" spans="1:34" x14ac:dyDescent="0.35">
      <c r="A94" s="63">
        <f t="shared" si="44"/>
        <v>-59</v>
      </c>
      <c r="B94" s="55">
        <f t="shared" si="31"/>
        <v>177.15555555555568</v>
      </c>
      <c r="C94" s="55" t="e">
        <f t="shared" si="39"/>
        <v>#VALUE!</v>
      </c>
      <c r="D94" s="55" t="e">
        <f t="shared" si="32"/>
        <v>#VALUE!</v>
      </c>
      <c r="E94" s="74" t="e">
        <f t="shared" si="45"/>
        <v>#VALUE!</v>
      </c>
      <c r="F94" s="60">
        <f t="shared" si="46"/>
        <v>0.5</v>
      </c>
      <c r="G94" s="66">
        <v>70.25</v>
      </c>
      <c r="H94" s="56" t="e">
        <f t="shared" si="33"/>
        <v>#VALUE!</v>
      </c>
      <c r="I94" s="55" t="e">
        <f t="shared" si="47"/>
        <v>#VALUE!</v>
      </c>
      <c r="J94" s="75">
        <f t="shared" si="48"/>
        <v>0.6</v>
      </c>
      <c r="K94" s="64">
        <f t="shared" si="49"/>
        <v>2674.2400000000002</v>
      </c>
      <c r="L94" s="64">
        <f t="shared" si="50"/>
        <v>2606.17</v>
      </c>
      <c r="M94" s="56" t="e">
        <f t="shared" si="51"/>
        <v>#VALUE!</v>
      </c>
      <c r="N94" s="56" t="e">
        <f t="shared" si="52"/>
        <v>#VALUE!</v>
      </c>
      <c r="O94" s="69" t="e">
        <f t="shared" si="53"/>
        <v>#VALUE!</v>
      </c>
      <c r="P94" s="45" t="e">
        <f t="shared" si="54"/>
        <v>#VALUE!</v>
      </c>
      <c r="Q94" s="45" t="e">
        <f t="shared" si="55"/>
        <v>#VALUE!</v>
      </c>
      <c r="R94" s="45" t="e">
        <f t="shared" si="58"/>
        <v>#VALUE!</v>
      </c>
      <c r="S94" s="52">
        <v>68.069999999999993</v>
      </c>
      <c r="T94" s="56" t="e">
        <f t="shared" si="40"/>
        <v>#VALUE!</v>
      </c>
      <c r="U94" s="56" t="e">
        <f t="shared" si="41"/>
        <v>#VALUE!</v>
      </c>
      <c r="V94" s="56" t="e">
        <f t="shared" si="34"/>
        <v>#VALUE!</v>
      </c>
      <c r="W94" s="71" t="e">
        <f t="shared" si="59"/>
        <v>#VALUE!</v>
      </c>
      <c r="X94" s="56">
        <f t="shared" si="35"/>
        <v>36.544950403578333</v>
      </c>
      <c r="Y94" s="66">
        <v>1.5</v>
      </c>
      <c r="Z94" s="66">
        <v>0.5</v>
      </c>
      <c r="AA94" s="66">
        <v>0.5</v>
      </c>
      <c r="AB94" s="56" t="e">
        <f t="shared" si="42"/>
        <v>#VALUE!</v>
      </c>
      <c r="AC94" s="73" t="e">
        <f t="shared" si="36"/>
        <v>#VALUE!</v>
      </c>
      <c r="AD94" s="56" t="e">
        <f t="shared" si="56"/>
        <v>#VALUE!</v>
      </c>
      <c r="AE94" s="48" t="e">
        <f t="shared" si="37"/>
        <v>#VALUE!</v>
      </c>
      <c r="AF94" s="72">
        <f t="shared" si="57"/>
        <v>5.1111111111111107</v>
      </c>
      <c r="AG94" s="72" t="e">
        <f t="shared" si="38"/>
        <v>#VALUE!</v>
      </c>
      <c r="AH94" s="72" t="e">
        <f t="shared" si="43"/>
        <v>#VALUE!</v>
      </c>
    </row>
    <row r="95" spans="1:34" x14ac:dyDescent="0.35">
      <c r="A95" s="63">
        <f t="shared" si="44"/>
        <v>-60</v>
      </c>
      <c r="B95" s="55">
        <f t="shared" si="31"/>
        <v>171.64444444444456</v>
      </c>
      <c r="C95" s="55" t="e">
        <f t="shared" si="39"/>
        <v>#VALUE!</v>
      </c>
      <c r="D95" s="55" t="e">
        <f t="shared" si="32"/>
        <v>#VALUE!</v>
      </c>
      <c r="E95" s="74" t="e">
        <f t="shared" si="45"/>
        <v>#VALUE!</v>
      </c>
      <c r="F95" s="60">
        <f t="shared" si="46"/>
        <v>0.5</v>
      </c>
      <c r="G95" s="66">
        <v>71.25</v>
      </c>
      <c r="H95" s="56" t="e">
        <f t="shared" si="33"/>
        <v>#VALUE!</v>
      </c>
      <c r="I95" s="55" t="e">
        <f t="shared" si="47"/>
        <v>#VALUE!</v>
      </c>
      <c r="J95" s="75">
        <f t="shared" si="48"/>
        <v>0.6</v>
      </c>
      <c r="K95" s="64">
        <f t="shared" si="49"/>
        <v>2606.17</v>
      </c>
      <c r="L95" s="64">
        <f t="shared" si="50"/>
        <v>2537.1</v>
      </c>
      <c r="M95" s="56" t="e">
        <f t="shared" si="51"/>
        <v>#VALUE!</v>
      </c>
      <c r="N95" s="56" t="e">
        <f t="shared" si="52"/>
        <v>#VALUE!</v>
      </c>
      <c r="O95" s="69" t="e">
        <f t="shared" si="53"/>
        <v>#VALUE!</v>
      </c>
      <c r="P95" s="45" t="e">
        <f t="shared" si="54"/>
        <v>#VALUE!</v>
      </c>
      <c r="Q95" s="45" t="e">
        <f t="shared" si="55"/>
        <v>#VALUE!</v>
      </c>
      <c r="R95" s="45" t="e">
        <f t="shared" si="58"/>
        <v>#VALUE!</v>
      </c>
      <c r="S95" s="52">
        <v>69.069999999999993</v>
      </c>
      <c r="T95" s="56" t="e">
        <f t="shared" si="40"/>
        <v>#VALUE!</v>
      </c>
      <c r="U95" s="56" t="e">
        <f t="shared" si="41"/>
        <v>#VALUE!</v>
      </c>
      <c r="V95" s="56" t="e">
        <f t="shared" si="34"/>
        <v>#VALUE!</v>
      </c>
      <c r="W95" s="71" t="e">
        <f t="shared" si="59"/>
        <v>#VALUE!</v>
      </c>
      <c r="X95" s="56">
        <f t="shared" si="35"/>
        <v>36.812408234181035</v>
      </c>
      <c r="Y95" s="66">
        <v>1.5</v>
      </c>
      <c r="Z95" s="66">
        <v>0.5</v>
      </c>
      <c r="AA95" s="66">
        <v>0.5</v>
      </c>
      <c r="AB95" s="56" t="e">
        <f t="shared" si="42"/>
        <v>#VALUE!</v>
      </c>
      <c r="AC95" s="73" t="e">
        <f t="shared" si="36"/>
        <v>#VALUE!</v>
      </c>
      <c r="AD95" s="56" t="e">
        <f t="shared" si="56"/>
        <v>#VALUE!</v>
      </c>
      <c r="AE95" s="48" t="e">
        <f t="shared" si="37"/>
        <v>#VALUE!</v>
      </c>
      <c r="AF95" s="72">
        <f t="shared" si="57"/>
        <v>5.1111111111111107</v>
      </c>
      <c r="AG95" s="72" t="e">
        <f t="shared" si="38"/>
        <v>#VALUE!</v>
      </c>
      <c r="AH95" s="72" t="e">
        <f t="shared" si="43"/>
        <v>#VALUE!</v>
      </c>
    </row>
    <row r="96" spans="1:34" x14ac:dyDescent="0.35">
      <c r="A96" s="63">
        <f t="shared" si="44"/>
        <v>-61</v>
      </c>
      <c r="B96" s="55">
        <f t="shared" si="31"/>
        <v>166.13333333333344</v>
      </c>
      <c r="C96" s="55" t="e">
        <f t="shared" si="39"/>
        <v>#VALUE!</v>
      </c>
      <c r="D96" s="55" t="e">
        <f t="shared" si="32"/>
        <v>#VALUE!</v>
      </c>
      <c r="E96" s="74" t="e">
        <f t="shared" si="45"/>
        <v>#VALUE!</v>
      </c>
      <c r="F96" s="60">
        <f t="shared" si="46"/>
        <v>0.5</v>
      </c>
      <c r="G96" s="66">
        <v>72.25</v>
      </c>
      <c r="H96" s="56" t="e">
        <f t="shared" si="33"/>
        <v>#VALUE!</v>
      </c>
      <c r="I96" s="55" t="e">
        <f t="shared" si="47"/>
        <v>#VALUE!</v>
      </c>
      <c r="J96" s="75">
        <f t="shared" si="48"/>
        <v>0.6</v>
      </c>
      <c r="K96" s="64">
        <f t="shared" si="49"/>
        <v>2537.1</v>
      </c>
      <c r="L96" s="64">
        <f t="shared" si="50"/>
        <v>2467.0299999999997</v>
      </c>
      <c r="M96" s="56" t="e">
        <f t="shared" si="51"/>
        <v>#VALUE!</v>
      </c>
      <c r="N96" s="56" t="e">
        <f t="shared" si="52"/>
        <v>#VALUE!</v>
      </c>
      <c r="O96" s="69" t="e">
        <f t="shared" si="53"/>
        <v>#VALUE!</v>
      </c>
      <c r="P96" s="45" t="e">
        <f t="shared" si="54"/>
        <v>#VALUE!</v>
      </c>
      <c r="Q96" s="45" t="e">
        <f t="shared" si="55"/>
        <v>#VALUE!</v>
      </c>
      <c r="R96" s="45" t="e">
        <f t="shared" si="58"/>
        <v>#VALUE!</v>
      </c>
      <c r="S96" s="52">
        <v>70.069999999999993</v>
      </c>
      <c r="T96" s="56" t="e">
        <f t="shared" si="40"/>
        <v>#VALUE!</v>
      </c>
      <c r="U96" s="56" t="e">
        <f t="shared" si="41"/>
        <v>#VALUE!</v>
      </c>
      <c r="V96" s="56" t="e">
        <f t="shared" si="34"/>
        <v>#VALUE!</v>
      </c>
      <c r="W96" s="71" t="e">
        <f t="shared" si="59"/>
        <v>#VALUE!</v>
      </c>
      <c r="X96" s="56">
        <f t="shared" si="35"/>
        <v>37.077936835805737</v>
      </c>
      <c r="Y96" s="66">
        <v>1.5</v>
      </c>
      <c r="Z96" s="66">
        <v>0.5</v>
      </c>
      <c r="AA96" s="66">
        <v>0.5</v>
      </c>
      <c r="AB96" s="56" t="e">
        <f t="shared" si="42"/>
        <v>#VALUE!</v>
      </c>
      <c r="AC96" s="73" t="e">
        <f t="shared" si="36"/>
        <v>#VALUE!</v>
      </c>
      <c r="AD96" s="56" t="e">
        <f t="shared" si="56"/>
        <v>#VALUE!</v>
      </c>
      <c r="AE96" s="48" t="e">
        <f t="shared" si="37"/>
        <v>#VALUE!</v>
      </c>
      <c r="AF96" s="72">
        <f t="shared" si="57"/>
        <v>5.1111111111111107</v>
      </c>
      <c r="AG96" s="72" t="e">
        <f t="shared" si="38"/>
        <v>#VALUE!</v>
      </c>
      <c r="AH96" s="72" t="e">
        <f t="shared" si="43"/>
        <v>#VALUE!</v>
      </c>
    </row>
    <row r="97" spans="1:34" x14ac:dyDescent="0.35">
      <c r="A97" s="63">
        <f t="shared" si="44"/>
        <v>-62</v>
      </c>
      <c r="B97" s="55">
        <f t="shared" si="31"/>
        <v>160.62222222222232</v>
      </c>
      <c r="C97" s="55" t="e">
        <f t="shared" si="39"/>
        <v>#VALUE!</v>
      </c>
      <c r="D97" s="55" t="e">
        <f t="shared" si="32"/>
        <v>#VALUE!</v>
      </c>
      <c r="E97" s="74" t="e">
        <f t="shared" si="45"/>
        <v>#VALUE!</v>
      </c>
      <c r="F97" s="60">
        <f t="shared" si="46"/>
        <v>0.5</v>
      </c>
      <c r="G97" s="66">
        <v>73.25</v>
      </c>
      <c r="H97" s="56" t="e">
        <f t="shared" si="33"/>
        <v>#VALUE!</v>
      </c>
      <c r="I97" s="55" t="e">
        <f t="shared" si="47"/>
        <v>#VALUE!</v>
      </c>
      <c r="J97" s="75">
        <f t="shared" si="48"/>
        <v>0.6</v>
      </c>
      <c r="K97" s="64">
        <f t="shared" si="49"/>
        <v>2467.0299999999997</v>
      </c>
      <c r="L97" s="64">
        <f t="shared" si="50"/>
        <v>2395.9599999999996</v>
      </c>
      <c r="M97" s="56" t="e">
        <f t="shared" si="51"/>
        <v>#VALUE!</v>
      </c>
      <c r="N97" s="56" t="e">
        <f t="shared" si="52"/>
        <v>#VALUE!</v>
      </c>
      <c r="O97" s="69" t="e">
        <f t="shared" si="53"/>
        <v>#VALUE!</v>
      </c>
      <c r="P97" s="45" t="e">
        <f t="shared" si="54"/>
        <v>#VALUE!</v>
      </c>
      <c r="Q97" s="45" t="e">
        <f t="shared" si="55"/>
        <v>#VALUE!</v>
      </c>
      <c r="R97" s="45" t="e">
        <f t="shared" si="58"/>
        <v>#VALUE!</v>
      </c>
      <c r="S97" s="52">
        <v>71.069999999999993</v>
      </c>
      <c r="T97" s="56" t="e">
        <f t="shared" si="40"/>
        <v>#VALUE!</v>
      </c>
      <c r="U97" s="56" t="e">
        <f t="shared" si="41"/>
        <v>#VALUE!</v>
      </c>
      <c r="V97" s="56" t="e">
        <f t="shared" si="34"/>
        <v>#VALUE!</v>
      </c>
      <c r="W97" s="71" t="e">
        <f t="shared" si="59"/>
        <v>#VALUE!</v>
      </c>
      <c r="X97" s="56">
        <f t="shared" si="35"/>
        <v>37.341577363576917</v>
      </c>
      <c r="Y97" s="66">
        <v>1.5</v>
      </c>
      <c r="Z97" s="66">
        <v>0.5</v>
      </c>
      <c r="AA97" s="66">
        <v>0.5</v>
      </c>
      <c r="AB97" s="56" t="e">
        <f t="shared" si="42"/>
        <v>#VALUE!</v>
      </c>
      <c r="AC97" s="73" t="e">
        <f t="shared" si="36"/>
        <v>#VALUE!</v>
      </c>
      <c r="AD97" s="56" t="e">
        <f t="shared" si="56"/>
        <v>#VALUE!</v>
      </c>
      <c r="AE97" s="48" t="e">
        <f t="shared" si="37"/>
        <v>#VALUE!</v>
      </c>
      <c r="AF97" s="72">
        <f t="shared" si="57"/>
        <v>5.1111111111111107</v>
      </c>
      <c r="AG97" s="72" t="e">
        <f t="shared" si="38"/>
        <v>#VALUE!</v>
      </c>
      <c r="AH97" s="72" t="e">
        <f t="shared" si="43"/>
        <v>#VALUE!</v>
      </c>
    </row>
    <row r="98" spans="1:34" x14ac:dyDescent="0.35">
      <c r="A98" s="63">
        <f t="shared" si="44"/>
        <v>-63</v>
      </c>
      <c r="B98" s="55">
        <f t="shared" si="31"/>
        <v>155.1111111111112</v>
      </c>
      <c r="C98" s="55" t="e">
        <f t="shared" si="39"/>
        <v>#VALUE!</v>
      </c>
      <c r="D98" s="55" t="e">
        <f t="shared" si="32"/>
        <v>#VALUE!</v>
      </c>
      <c r="E98" s="74" t="e">
        <f t="shared" si="45"/>
        <v>#VALUE!</v>
      </c>
      <c r="F98" s="60">
        <f t="shared" si="46"/>
        <v>0.5</v>
      </c>
      <c r="G98" s="66">
        <v>74.25</v>
      </c>
      <c r="H98" s="56" t="e">
        <f t="shared" si="33"/>
        <v>#VALUE!</v>
      </c>
      <c r="I98" s="55" t="e">
        <f t="shared" si="47"/>
        <v>#VALUE!</v>
      </c>
      <c r="J98" s="75">
        <f t="shared" si="48"/>
        <v>0.6</v>
      </c>
      <c r="K98" s="64">
        <f t="shared" si="49"/>
        <v>2395.9599999999996</v>
      </c>
      <c r="L98" s="64">
        <f t="shared" si="50"/>
        <v>2323.8899999999994</v>
      </c>
      <c r="M98" s="56" t="e">
        <f t="shared" si="51"/>
        <v>#VALUE!</v>
      </c>
      <c r="N98" s="56" t="e">
        <f t="shared" si="52"/>
        <v>#VALUE!</v>
      </c>
      <c r="O98" s="69" t="e">
        <f t="shared" si="53"/>
        <v>#VALUE!</v>
      </c>
      <c r="P98" s="45" t="e">
        <f t="shared" si="54"/>
        <v>#VALUE!</v>
      </c>
      <c r="Q98" s="45" t="e">
        <f t="shared" si="55"/>
        <v>#VALUE!</v>
      </c>
      <c r="R98" s="45" t="e">
        <f t="shared" si="58"/>
        <v>#VALUE!</v>
      </c>
      <c r="S98" s="52">
        <v>72.069999999999993</v>
      </c>
      <c r="T98" s="56" t="e">
        <f t="shared" si="40"/>
        <v>#VALUE!</v>
      </c>
      <c r="U98" s="56" t="e">
        <f t="shared" si="41"/>
        <v>#VALUE!</v>
      </c>
      <c r="V98" s="56" t="e">
        <f t="shared" si="34"/>
        <v>#VALUE!</v>
      </c>
      <c r="W98" s="71" t="e">
        <f t="shared" si="59"/>
        <v>#VALUE!</v>
      </c>
      <c r="X98" s="56">
        <f t="shared" si="35"/>
        <v>37.603369529870591</v>
      </c>
      <c r="Y98" s="66">
        <v>1.5</v>
      </c>
      <c r="Z98" s="66">
        <v>0.5</v>
      </c>
      <c r="AA98" s="66">
        <v>0.5</v>
      </c>
      <c r="AB98" s="56" t="e">
        <f t="shared" si="42"/>
        <v>#VALUE!</v>
      </c>
      <c r="AC98" s="73" t="e">
        <f t="shared" si="36"/>
        <v>#VALUE!</v>
      </c>
      <c r="AD98" s="56" t="e">
        <f t="shared" si="56"/>
        <v>#VALUE!</v>
      </c>
      <c r="AE98" s="48" t="e">
        <f t="shared" si="37"/>
        <v>#VALUE!</v>
      </c>
      <c r="AF98" s="72">
        <f t="shared" si="57"/>
        <v>5.1111111111111107</v>
      </c>
      <c r="AG98" s="72" t="e">
        <f t="shared" si="38"/>
        <v>#VALUE!</v>
      </c>
      <c r="AH98" s="72" t="e">
        <f t="shared" si="43"/>
        <v>#VALUE!</v>
      </c>
    </row>
    <row r="99" spans="1:34" x14ac:dyDescent="0.35">
      <c r="A99" s="63">
        <f t="shared" si="44"/>
        <v>-64</v>
      </c>
      <c r="B99" s="55">
        <f t="shared" si="31"/>
        <v>149.60000000000008</v>
      </c>
      <c r="C99" s="55" t="e">
        <f t="shared" si="39"/>
        <v>#VALUE!</v>
      </c>
      <c r="D99" s="55" t="e">
        <f t="shared" si="32"/>
        <v>#VALUE!</v>
      </c>
      <c r="E99" s="74" t="e">
        <f t="shared" si="45"/>
        <v>#VALUE!</v>
      </c>
      <c r="F99" s="60">
        <f t="shared" si="46"/>
        <v>0.5</v>
      </c>
      <c r="G99" s="66">
        <v>75.25</v>
      </c>
      <c r="H99" s="56" t="e">
        <f t="shared" si="33"/>
        <v>#VALUE!</v>
      </c>
      <c r="I99" s="55" t="e">
        <f t="shared" si="47"/>
        <v>#VALUE!</v>
      </c>
      <c r="J99" s="75">
        <f t="shared" si="48"/>
        <v>0.6</v>
      </c>
      <c r="K99" s="64">
        <f t="shared" si="49"/>
        <v>2323.8899999999994</v>
      </c>
      <c r="L99" s="64">
        <f t="shared" si="50"/>
        <v>2250.8199999999993</v>
      </c>
      <c r="M99" s="56" t="e">
        <f t="shared" si="51"/>
        <v>#VALUE!</v>
      </c>
      <c r="N99" s="56" t="e">
        <f t="shared" si="52"/>
        <v>#VALUE!</v>
      </c>
      <c r="O99" s="69" t="e">
        <f t="shared" si="53"/>
        <v>#VALUE!</v>
      </c>
      <c r="P99" s="45" t="e">
        <f t="shared" si="54"/>
        <v>#VALUE!</v>
      </c>
      <c r="Q99" s="45" t="e">
        <f t="shared" si="55"/>
        <v>#VALUE!</v>
      </c>
      <c r="R99" s="45" t="e">
        <f t="shared" si="58"/>
        <v>#VALUE!</v>
      </c>
      <c r="S99" s="52">
        <v>73.069999999999993</v>
      </c>
      <c r="T99" s="56" t="e">
        <f t="shared" si="40"/>
        <v>#VALUE!</v>
      </c>
      <c r="U99" s="56" t="e">
        <f t="shared" si="41"/>
        <v>#VALUE!</v>
      </c>
      <c r="V99" s="56" t="e">
        <f t="shared" si="34"/>
        <v>#VALUE!</v>
      </c>
      <c r="W99" s="71" t="e">
        <f t="shared" si="59"/>
        <v>#VALUE!</v>
      </c>
      <c r="X99" s="56">
        <f t="shared" si="35"/>
        <v>37.863351674145278</v>
      </c>
      <c r="Y99" s="66">
        <v>1.5</v>
      </c>
      <c r="Z99" s="66">
        <v>0.5</v>
      </c>
      <c r="AA99" s="66">
        <v>0.5</v>
      </c>
      <c r="AB99" s="56" t="e">
        <f t="shared" si="42"/>
        <v>#VALUE!</v>
      </c>
      <c r="AC99" s="73" t="e">
        <f t="shared" si="36"/>
        <v>#VALUE!</v>
      </c>
      <c r="AD99" s="56" t="e">
        <f t="shared" si="56"/>
        <v>#VALUE!</v>
      </c>
      <c r="AE99" s="48" t="e">
        <f t="shared" si="37"/>
        <v>#VALUE!</v>
      </c>
      <c r="AF99" s="72">
        <f t="shared" si="57"/>
        <v>5.1111111111111107</v>
      </c>
      <c r="AG99" s="72" t="e">
        <f t="shared" si="38"/>
        <v>#VALUE!</v>
      </c>
      <c r="AH99" s="72" t="e">
        <f t="shared" si="43"/>
        <v>#VALUE!</v>
      </c>
    </row>
    <row r="100" spans="1:34" x14ac:dyDescent="0.35">
      <c r="A100" s="63">
        <f t="shared" si="44"/>
        <v>-65</v>
      </c>
      <c r="B100" s="55">
        <f t="shared" si="31"/>
        <v>144.08888888888896</v>
      </c>
      <c r="C100" s="55" t="e">
        <f t="shared" si="39"/>
        <v>#VALUE!</v>
      </c>
      <c r="D100" s="55" t="e">
        <f t="shared" si="32"/>
        <v>#VALUE!</v>
      </c>
      <c r="E100" s="74" t="e">
        <f t="shared" si="45"/>
        <v>#VALUE!</v>
      </c>
      <c r="F100" s="60">
        <f t="shared" si="46"/>
        <v>0.5</v>
      </c>
      <c r="G100" s="66">
        <v>76.25</v>
      </c>
      <c r="H100" s="56" t="e">
        <f t="shared" si="33"/>
        <v>#VALUE!</v>
      </c>
      <c r="I100" s="55" t="e">
        <f t="shared" si="47"/>
        <v>#VALUE!</v>
      </c>
      <c r="J100" s="75">
        <f t="shared" si="48"/>
        <v>0.6</v>
      </c>
      <c r="K100" s="64">
        <f t="shared" si="49"/>
        <v>2250.8199999999993</v>
      </c>
      <c r="L100" s="64">
        <f t="shared" si="50"/>
        <v>2176.7499999999991</v>
      </c>
      <c r="M100" s="56" t="e">
        <f t="shared" si="51"/>
        <v>#VALUE!</v>
      </c>
      <c r="N100" s="56" t="e">
        <f t="shared" si="52"/>
        <v>#VALUE!</v>
      </c>
      <c r="O100" s="69" t="e">
        <f t="shared" si="53"/>
        <v>#VALUE!</v>
      </c>
      <c r="P100" s="45" t="e">
        <f t="shared" si="54"/>
        <v>#VALUE!</v>
      </c>
      <c r="Q100" s="45" t="e">
        <f t="shared" si="55"/>
        <v>#VALUE!</v>
      </c>
      <c r="R100" s="45" t="e">
        <f t="shared" si="58"/>
        <v>#VALUE!</v>
      </c>
      <c r="S100" s="52">
        <v>74.069999999999993</v>
      </c>
      <c r="T100" s="56" t="e">
        <f t="shared" si="40"/>
        <v>#VALUE!</v>
      </c>
      <c r="U100" s="56" t="e">
        <f t="shared" si="41"/>
        <v>#VALUE!</v>
      </c>
      <c r="V100" s="56" t="e">
        <f t="shared" si="34"/>
        <v>#VALUE!</v>
      </c>
      <c r="W100" s="71" t="e">
        <f t="shared" si="59"/>
        <v>#VALUE!</v>
      </c>
      <c r="X100" s="56">
        <f t="shared" si="35"/>
        <v>38.121560828486544</v>
      </c>
      <c r="Y100" s="66">
        <v>1.5</v>
      </c>
      <c r="Z100" s="66">
        <v>0.5</v>
      </c>
      <c r="AA100" s="66">
        <v>0.5</v>
      </c>
      <c r="AB100" s="56" t="e">
        <f t="shared" si="42"/>
        <v>#VALUE!</v>
      </c>
      <c r="AC100" s="73" t="e">
        <f t="shared" si="36"/>
        <v>#VALUE!</v>
      </c>
      <c r="AD100" s="56" t="e">
        <f t="shared" si="56"/>
        <v>#VALUE!</v>
      </c>
      <c r="AE100" s="48" t="e">
        <f t="shared" si="37"/>
        <v>#VALUE!</v>
      </c>
      <c r="AF100" s="72">
        <f t="shared" si="57"/>
        <v>5.1111111111111107</v>
      </c>
      <c r="AG100" s="72" t="e">
        <f t="shared" si="38"/>
        <v>#VALUE!</v>
      </c>
      <c r="AH100" s="72" t="e">
        <f t="shared" si="43"/>
        <v>#VALUE!</v>
      </c>
    </row>
    <row r="101" spans="1:34" x14ac:dyDescent="0.35">
      <c r="A101" s="63">
        <f t="shared" si="44"/>
        <v>-66</v>
      </c>
      <c r="B101" s="55">
        <f t="shared" si="31"/>
        <v>138.57777777777784</v>
      </c>
      <c r="C101" s="55" t="e">
        <f t="shared" si="39"/>
        <v>#VALUE!</v>
      </c>
      <c r="D101" s="55" t="e">
        <f t="shared" si="32"/>
        <v>#VALUE!</v>
      </c>
      <c r="E101" s="74" t="e">
        <f t="shared" si="45"/>
        <v>#VALUE!</v>
      </c>
      <c r="F101" s="60">
        <f t="shared" si="46"/>
        <v>0.5</v>
      </c>
      <c r="G101" s="66">
        <v>77.25</v>
      </c>
      <c r="H101" s="56" t="e">
        <f t="shared" si="33"/>
        <v>#VALUE!</v>
      </c>
      <c r="I101" s="55" t="e">
        <f t="shared" si="47"/>
        <v>#VALUE!</v>
      </c>
      <c r="J101" s="75">
        <f t="shared" si="48"/>
        <v>0.6</v>
      </c>
      <c r="K101" s="64">
        <f t="shared" si="49"/>
        <v>2176.7499999999991</v>
      </c>
      <c r="L101" s="64">
        <f t="shared" si="50"/>
        <v>2101.6799999999989</v>
      </c>
      <c r="M101" s="56" t="e">
        <f t="shared" si="51"/>
        <v>#VALUE!</v>
      </c>
      <c r="N101" s="56" t="e">
        <f t="shared" si="52"/>
        <v>#VALUE!</v>
      </c>
      <c r="O101" s="69" t="e">
        <f t="shared" si="53"/>
        <v>#VALUE!</v>
      </c>
      <c r="P101" s="45" t="e">
        <f t="shared" si="54"/>
        <v>#VALUE!</v>
      </c>
      <c r="Q101" s="45" t="e">
        <f t="shared" si="55"/>
        <v>#VALUE!</v>
      </c>
      <c r="R101" s="45" t="e">
        <f t="shared" si="58"/>
        <v>#VALUE!</v>
      </c>
      <c r="S101" s="52">
        <v>75.069999999999993</v>
      </c>
      <c r="T101" s="56" t="e">
        <f t="shared" si="40"/>
        <v>#VALUE!</v>
      </c>
      <c r="U101" s="56" t="e">
        <f t="shared" si="41"/>
        <v>#VALUE!</v>
      </c>
      <c r="V101" s="56" t="e">
        <f t="shared" si="34"/>
        <v>#VALUE!</v>
      </c>
      <c r="W101" s="71" t="e">
        <f t="shared" si="59"/>
        <v>#VALUE!</v>
      </c>
      <c r="X101" s="56">
        <f t="shared" si="35"/>
        <v>38.378032779182412</v>
      </c>
      <c r="Y101" s="66">
        <v>1.5</v>
      </c>
      <c r="Z101" s="66">
        <v>0.5</v>
      </c>
      <c r="AA101" s="66">
        <v>0.5</v>
      </c>
      <c r="AB101" s="56" t="e">
        <f t="shared" si="42"/>
        <v>#VALUE!</v>
      </c>
      <c r="AC101" s="73" t="e">
        <f t="shared" si="36"/>
        <v>#VALUE!</v>
      </c>
      <c r="AD101" s="56" t="e">
        <f t="shared" si="56"/>
        <v>#VALUE!</v>
      </c>
      <c r="AE101" s="48" t="e">
        <f t="shared" si="37"/>
        <v>#VALUE!</v>
      </c>
      <c r="AF101" s="72">
        <f t="shared" si="57"/>
        <v>5.1111111111111107</v>
      </c>
      <c r="AG101" s="72" t="e">
        <f t="shared" si="38"/>
        <v>#VALUE!</v>
      </c>
      <c r="AH101" s="72" t="e">
        <f t="shared" si="43"/>
        <v>#VALUE!</v>
      </c>
    </row>
    <row r="102" spans="1:34" x14ac:dyDescent="0.35">
      <c r="A102" s="63">
        <f t="shared" si="44"/>
        <v>-67</v>
      </c>
      <c r="B102" s="55">
        <f t="shared" si="31"/>
        <v>133.06666666666672</v>
      </c>
      <c r="C102" s="55" t="e">
        <f t="shared" si="39"/>
        <v>#VALUE!</v>
      </c>
      <c r="D102" s="55" t="e">
        <f t="shared" si="32"/>
        <v>#VALUE!</v>
      </c>
      <c r="E102" s="74" t="e">
        <f t="shared" si="45"/>
        <v>#VALUE!</v>
      </c>
      <c r="F102" s="60">
        <f t="shared" si="46"/>
        <v>0.5</v>
      </c>
      <c r="G102" s="66">
        <v>78.25</v>
      </c>
      <c r="H102" s="56" t="e">
        <f t="shared" si="33"/>
        <v>#VALUE!</v>
      </c>
      <c r="I102" s="55" t="e">
        <f t="shared" si="47"/>
        <v>#VALUE!</v>
      </c>
      <c r="J102" s="75">
        <f t="shared" si="48"/>
        <v>0.6</v>
      </c>
      <c r="K102" s="64">
        <f t="shared" si="49"/>
        <v>2101.6799999999989</v>
      </c>
      <c r="L102" s="64">
        <f t="shared" si="50"/>
        <v>2025.609999999999</v>
      </c>
      <c r="M102" s="56" t="e">
        <f t="shared" si="51"/>
        <v>#VALUE!</v>
      </c>
      <c r="N102" s="56" t="e">
        <f t="shared" si="52"/>
        <v>#VALUE!</v>
      </c>
      <c r="O102" s="69" t="e">
        <f t="shared" si="53"/>
        <v>#VALUE!</v>
      </c>
      <c r="P102" s="45" t="e">
        <f t="shared" si="54"/>
        <v>#VALUE!</v>
      </c>
      <c r="Q102" s="45" t="e">
        <f t="shared" si="55"/>
        <v>#VALUE!</v>
      </c>
      <c r="R102" s="45" t="e">
        <f t="shared" si="58"/>
        <v>#VALUE!</v>
      </c>
      <c r="S102" s="52">
        <v>76.069999999999993</v>
      </c>
      <c r="T102" s="56" t="e">
        <f t="shared" si="40"/>
        <v>#VALUE!</v>
      </c>
      <c r="U102" s="56" t="e">
        <f t="shared" si="41"/>
        <v>#VALUE!</v>
      </c>
      <c r="V102" s="56" t="e">
        <f t="shared" si="34"/>
        <v>#VALUE!</v>
      </c>
      <c r="W102" s="71" t="e">
        <f t="shared" si="59"/>
        <v>#VALUE!</v>
      </c>
      <c r="X102" s="56">
        <f t="shared" si="35"/>
        <v>38.632802124619431</v>
      </c>
      <c r="Y102" s="66">
        <v>1.5</v>
      </c>
      <c r="Z102" s="66">
        <v>0.5</v>
      </c>
      <c r="AA102" s="66">
        <v>0.5</v>
      </c>
      <c r="AB102" s="56" t="e">
        <f t="shared" si="42"/>
        <v>#VALUE!</v>
      </c>
      <c r="AC102" s="73" t="e">
        <f t="shared" si="36"/>
        <v>#VALUE!</v>
      </c>
      <c r="AD102" s="56" t="e">
        <f t="shared" si="56"/>
        <v>#VALUE!</v>
      </c>
      <c r="AE102" s="48" t="e">
        <f t="shared" si="37"/>
        <v>#VALUE!</v>
      </c>
      <c r="AF102" s="72">
        <f t="shared" si="57"/>
        <v>5.1111111111111107</v>
      </c>
      <c r="AG102" s="72" t="e">
        <f t="shared" si="38"/>
        <v>#VALUE!</v>
      </c>
      <c r="AH102" s="72" t="e">
        <f t="shared" si="43"/>
        <v>#VALUE!</v>
      </c>
    </row>
    <row r="103" spans="1:34" x14ac:dyDescent="0.35">
      <c r="A103" s="63">
        <f t="shared" si="44"/>
        <v>-68</v>
      </c>
      <c r="B103" s="55">
        <f t="shared" si="31"/>
        <v>127.55555555555561</v>
      </c>
      <c r="C103" s="55" t="e">
        <f t="shared" si="39"/>
        <v>#VALUE!</v>
      </c>
      <c r="D103" s="55" t="e">
        <f t="shared" si="32"/>
        <v>#VALUE!</v>
      </c>
      <c r="E103" s="74" t="e">
        <f t="shared" si="45"/>
        <v>#VALUE!</v>
      </c>
      <c r="F103" s="60">
        <f t="shared" si="46"/>
        <v>0.5</v>
      </c>
      <c r="G103" s="66">
        <v>79.25</v>
      </c>
      <c r="H103" s="56" t="e">
        <f t="shared" si="33"/>
        <v>#VALUE!</v>
      </c>
      <c r="I103" s="55" t="e">
        <f t="shared" si="47"/>
        <v>#VALUE!</v>
      </c>
      <c r="J103" s="75">
        <f t="shared" si="48"/>
        <v>0.6</v>
      </c>
      <c r="K103" s="64">
        <f t="shared" si="49"/>
        <v>2025.609999999999</v>
      </c>
      <c r="L103" s="64">
        <f t="shared" si="50"/>
        <v>1948.5399999999991</v>
      </c>
      <c r="M103" s="56" t="e">
        <f t="shared" si="51"/>
        <v>#VALUE!</v>
      </c>
      <c r="N103" s="56" t="e">
        <f t="shared" si="52"/>
        <v>#VALUE!</v>
      </c>
      <c r="O103" s="69" t="e">
        <f t="shared" si="53"/>
        <v>#VALUE!</v>
      </c>
      <c r="P103" s="45" t="e">
        <f t="shared" si="54"/>
        <v>#VALUE!</v>
      </c>
      <c r="Q103" s="45" t="e">
        <f t="shared" si="55"/>
        <v>#VALUE!</v>
      </c>
      <c r="R103" s="45" t="e">
        <f t="shared" si="58"/>
        <v>#VALUE!</v>
      </c>
      <c r="S103" s="52">
        <v>77.069999999999993</v>
      </c>
      <c r="T103" s="56" t="e">
        <f t="shared" si="40"/>
        <v>#VALUE!</v>
      </c>
      <c r="U103" s="56" t="e">
        <f t="shared" si="41"/>
        <v>#VALUE!</v>
      </c>
      <c r="V103" s="56" t="e">
        <f t="shared" si="34"/>
        <v>#VALUE!</v>
      </c>
      <c r="W103" s="71" t="e">
        <f t="shared" si="59"/>
        <v>#VALUE!</v>
      </c>
      <c r="X103" s="56">
        <f t="shared" si="35"/>
        <v>38.885902329764704</v>
      </c>
      <c r="Y103" s="66">
        <v>1.5</v>
      </c>
      <c r="Z103" s="66">
        <v>0.5</v>
      </c>
      <c r="AA103" s="66">
        <v>0.5</v>
      </c>
      <c r="AB103" s="56" t="e">
        <f t="shared" si="42"/>
        <v>#VALUE!</v>
      </c>
      <c r="AC103" s="73" t="e">
        <f t="shared" si="36"/>
        <v>#VALUE!</v>
      </c>
      <c r="AD103" s="56" t="e">
        <f t="shared" si="56"/>
        <v>#VALUE!</v>
      </c>
      <c r="AE103" s="48" t="e">
        <f t="shared" si="37"/>
        <v>#VALUE!</v>
      </c>
      <c r="AF103" s="72">
        <f t="shared" si="57"/>
        <v>5.1111111111111107</v>
      </c>
      <c r="AG103" s="72" t="e">
        <f t="shared" si="38"/>
        <v>#VALUE!</v>
      </c>
      <c r="AH103" s="72" t="e">
        <f t="shared" si="43"/>
        <v>#VALUE!</v>
      </c>
    </row>
    <row r="104" spans="1:34" x14ac:dyDescent="0.35">
      <c r="A104" s="63">
        <f t="shared" si="44"/>
        <v>-69</v>
      </c>
      <c r="B104" s="55">
        <f t="shared" si="31"/>
        <v>122.04444444444449</v>
      </c>
      <c r="C104" s="55" t="e">
        <f t="shared" si="39"/>
        <v>#VALUE!</v>
      </c>
      <c r="D104" s="55" t="e">
        <f t="shared" si="32"/>
        <v>#VALUE!</v>
      </c>
      <c r="E104" s="74" t="e">
        <f t="shared" si="45"/>
        <v>#VALUE!</v>
      </c>
      <c r="F104" s="60">
        <f t="shared" si="46"/>
        <v>0.5</v>
      </c>
      <c r="G104" s="66">
        <v>80.25</v>
      </c>
      <c r="H104" s="56" t="e">
        <f t="shared" si="33"/>
        <v>#VALUE!</v>
      </c>
      <c r="I104" s="55" t="e">
        <f t="shared" si="47"/>
        <v>#VALUE!</v>
      </c>
      <c r="J104" s="75">
        <f t="shared" si="48"/>
        <v>0.6</v>
      </c>
      <c r="K104" s="64">
        <f t="shared" si="49"/>
        <v>1948.5399999999991</v>
      </c>
      <c r="L104" s="64">
        <f t="shared" si="50"/>
        <v>1870.4699999999991</v>
      </c>
      <c r="M104" s="56" t="e">
        <f t="shared" si="51"/>
        <v>#VALUE!</v>
      </c>
      <c r="N104" s="56" t="e">
        <f t="shared" si="52"/>
        <v>#VALUE!</v>
      </c>
      <c r="O104" s="69" t="e">
        <f t="shared" si="53"/>
        <v>#VALUE!</v>
      </c>
      <c r="P104" s="45" t="e">
        <f t="shared" si="54"/>
        <v>#VALUE!</v>
      </c>
      <c r="Q104" s="45" t="e">
        <f t="shared" si="55"/>
        <v>#VALUE!</v>
      </c>
      <c r="R104" s="45" t="e">
        <f t="shared" si="58"/>
        <v>#VALUE!</v>
      </c>
      <c r="S104" s="52">
        <v>78.069999999999993</v>
      </c>
      <c r="T104" s="56" t="e">
        <f t="shared" si="40"/>
        <v>#VALUE!</v>
      </c>
      <c r="U104" s="56" t="e">
        <f t="shared" si="41"/>
        <v>#VALUE!</v>
      </c>
      <c r="V104" s="56" t="e">
        <f t="shared" si="34"/>
        <v>#VALUE!</v>
      </c>
      <c r="W104" s="71" t="e">
        <f t="shared" si="59"/>
        <v>#VALUE!</v>
      </c>
      <c r="X104" s="56">
        <f t="shared" si="35"/>
        <v>39.137365777476639</v>
      </c>
      <c r="Y104" s="66">
        <v>1.5</v>
      </c>
      <c r="Z104" s="66">
        <v>0.5</v>
      </c>
      <c r="AA104" s="66">
        <v>0.5</v>
      </c>
      <c r="AB104" s="56" t="e">
        <f t="shared" si="42"/>
        <v>#VALUE!</v>
      </c>
      <c r="AC104" s="73" t="e">
        <f t="shared" si="36"/>
        <v>#VALUE!</v>
      </c>
      <c r="AD104" s="56" t="e">
        <f t="shared" si="56"/>
        <v>#VALUE!</v>
      </c>
      <c r="AE104" s="48" t="e">
        <f t="shared" si="37"/>
        <v>#VALUE!</v>
      </c>
      <c r="AF104" s="72">
        <f t="shared" si="57"/>
        <v>5.1111111111111107</v>
      </c>
      <c r="AG104" s="72" t="e">
        <f t="shared" si="38"/>
        <v>#VALUE!</v>
      </c>
      <c r="AH104" s="72" t="e">
        <f t="shared" si="43"/>
        <v>#VALUE!</v>
      </c>
    </row>
    <row r="105" spans="1:34" x14ac:dyDescent="0.35">
      <c r="A105" s="63">
        <f t="shared" si="44"/>
        <v>-70</v>
      </c>
      <c r="B105" s="55">
        <f t="shared" si="31"/>
        <v>116.53333333333337</v>
      </c>
      <c r="C105" s="55" t="e">
        <f t="shared" si="39"/>
        <v>#VALUE!</v>
      </c>
      <c r="D105" s="55" t="e">
        <f t="shared" si="32"/>
        <v>#VALUE!</v>
      </c>
      <c r="E105" s="74" t="e">
        <f t="shared" si="45"/>
        <v>#VALUE!</v>
      </c>
      <c r="F105" s="60">
        <f t="shared" si="46"/>
        <v>0.5</v>
      </c>
      <c r="G105" s="66">
        <v>81.25</v>
      </c>
      <c r="H105" s="56" t="e">
        <f t="shared" si="33"/>
        <v>#VALUE!</v>
      </c>
      <c r="I105" s="55" t="e">
        <f t="shared" si="47"/>
        <v>#VALUE!</v>
      </c>
      <c r="J105" s="75">
        <f t="shared" si="48"/>
        <v>0.6</v>
      </c>
      <c r="K105" s="64">
        <f t="shared" si="49"/>
        <v>1870.4699999999991</v>
      </c>
      <c r="L105" s="64">
        <f t="shared" si="50"/>
        <v>1791.3999999999992</v>
      </c>
      <c r="M105" s="56" t="e">
        <f t="shared" si="51"/>
        <v>#VALUE!</v>
      </c>
      <c r="N105" s="56" t="e">
        <f t="shared" si="52"/>
        <v>#VALUE!</v>
      </c>
      <c r="O105" s="69" t="e">
        <f t="shared" si="53"/>
        <v>#VALUE!</v>
      </c>
      <c r="P105" s="45" t="e">
        <f t="shared" si="54"/>
        <v>#VALUE!</v>
      </c>
      <c r="Q105" s="45" t="e">
        <f t="shared" si="55"/>
        <v>#VALUE!</v>
      </c>
      <c r="R105" s="45" t="e">
        <f t="shared" si="58"/>
        <v>#VALUE!</v>
      </c>
      <c r="S105" s="52">
        <v>79.069999999999993</v>
      </c>
      <c r="T105" s="56" t="e">
        <f t="shared" si="40"/>
        <v>#VALUE!</v>
      </c>
      <c r="U105" s="56" t="e">
        <f t="shared" si="41"/>
        <v>#VALUE!</v>
      </c>
      <c r="V105" s="56" t="e">
        <f t="shared" si="34"/>
        <v>#VALUE!</v>
      </c>
      <c r="W105" s="71" t="e">
        <f t="shared" si="59"/>
        <v>#VALUE!</v>
      </c>
      <c r="X105" s="56">
        <f t="shared" si="35"/>
        <v>39.387223816867319</v>
      </c>
      <c r="Y105" s="66">
        <v>1.5</v>
      </c>
      <c r="Z105" s="66">
        <v>0.5</v>
      </c>
      <c r="AA105" s="66">
        <v>0.5</v>
      </c>
      <c r="AB105" s="56" t="e">
        <f t="shared" si="42"/>
        <v>#VALUE!</v>
      </c>
      <c r="AC105" s="73" t="e">
        <f t="shared" si="36"/>
        <v>#VALUE!</v>
      </c>
      <c r="AD105" s="56" t="e">
        <f t="shared" si="56"/>
        <v>#VALUE!</v>
      </c>
      <c r="AE105" s="48" t="e">
        <f t="shared" si="37"/>
        <v>#VALUE!</v>
      </c>
      <c r="AF105" s="72">
        <f t="shared" si="57"/>
        <v>5.1111111111111107</v>
      </c>
      <c r="AG105" s="72" t="e">
        <f t="shared" si="38"/>
        <v>#VALUE!</v>
      </c>
      <c r="AH105" s="72" t="e">
        <f t="shared" si="43"/>
        <v>#VALUE!</v>
      </c>
    </row>
    <row r="106" spans="1:34" x14ac:dyDescent="0.35">
      <c r="A106" s="63">
        <f t="shared" si="44"/>
        <v>-71</v>
      </c>
      <c r="B106" s="55">
        <f t="shared" si="31"/>
        <v>111.02222222222225</v>
      </c>
      <c r="C106" s="55" t="e">
        <f t="shared" si="39"/>
        <v>#VALUE!</v>
      </c>
      <c r="D106" s="55" t="e">
        <f t="shared" si="32"/>
        <v>#VALUE!</v>
      </c>
      <c r="E106" s="74" t="e">
        <f t="shared" si="45"/>
        <v>#VALUE!</v>
      </c>
      <c r="F106" s="60">
        <f t="shared" si="46"/>
        <v>0.5</v>
      </c>
      <c r="G106" s="66">
        <v>82.25</v>
      </c>
      <c r="H106" s="56" t="e">
        <f t="shared" si="33"/>
        <v>#VALUE!</v>
      </c>
      <c r="I106" s="55" t="e">
        <f t="shared" si="47"/>
        <v>#VALUE!</v>
      </c>
      <c r="J106" s="75">
        <f t="shared" si="48"/>
        <v>0.6</v>
      </c>
      <c r="K106" s="64">
        <f t="shared" si="49"/>
        <v>1791.3999999999992</v>
      </c>
      <c r="L106" s="64">
        <f t="shared" si="50"/>
        <v>1711.3299999999992</v>
      </c>
      <c r="M106" s="56" t="e">
        <f t="shared" si="51"/>
        <v>#VALUE!</v>
      </c>
      <c r="N106" s="56" t="e">
        <f t="shared" si="52"/>
        <v>#VALUE!</v>
      </c>
      <c r="O106" s="69" t="e">
        <f t="shared" si="53"/>
        <v>#VALUE!</v>
      </c>
      <c r="P106" s="45" t="e">
        <f t="shared" si="54"/>
        <v>#VALUE!</v>
      </c>
      <c r="Q106" s="45" t="e">
        <f t="shared" si="55"/>
        <v>#VALUE!</v>
      </c>
      <c r="R106" s="45" t="e">
        <f t="shared" si="58"/>
        <v>#VALUE!</v>
      </c>
      <c r="S106" s="52">
        <v>80.069999999999993</v>
      </c>
      <c r="T106" s="56" t="e">
        <f t="shared" si="40"/>
        <v>#VALUE!</v>
      </c>
      <c r="U106" s="56" t="e">
        <f t="shared" si="41"/>
        <v>#VALUE!</v>
      </c>
      <c r="V106" s="56" t="e">
        <f t="shared" si="34"/>
        <v>#VALUE!</v>
      </c>
      <c r="W106" s="71" t="e">
        <f t="shared" si="59"/>
        <v>#VALUE!</v>
      </c>
      <c r="X106" s="56">
        <f t="shared" si="35"/>
        <v>39.635506808920709</v>
      </c>
      <c r="Y106" s="66">
        <v>1.5</v>
      </c>
      <c r="Z106" s="66">
        <v>0.5</v>
      </c>
      <c r="AA106" s="66">
        <v>0.5</v>
      </c>
      <c r="AB106" s="56" t="e">
        <f t="shared" si="42"/>
        <v>#VALUE!</v>
      </c>
      <c r="AC106" s="73" t="e">
        <f t="shared" si="36"/>
        <v>#VALUE!</v>
      </c>
      <c r="AD106" s="56" t="e">
        <f t="shared" si="56"/>
        <v>#VALUE!</v>
      </c>
      <c r="AE106" s="48" t="e">
        <f t="shared" si="37"/>
        <v>#VALUE!</v>
      </c>
      <c r="AF106" s="72">
        <f t="shared" si="57"/>
        <v>5.1111111111111107</v>
      </c>
      <c r="AG106" s="72" t="e">
        <f t="shared" si="38"/>
        <v>#VALUE!</v>
      </c>
      <c r="AH106" s="72" t="e">
        <f t="shared" si="43"/>
        <v>#VALUE!</v>
      </c>
    </row>
    <row r="107" spans="1:34" x14ac:dyDescent="0.35">
      <c r="A107" s="63">
        <f t="shared" si="44"/>
        <v>-72</v>
      </c>
      <c r="B107" s="55">
        <f t="shared" si="31"/>
        <v>105.51111111111113</v>
      </c>
      <c r="C107" s="55" t="e">
        <f t="shared" si="39"/>
        <v>#VALUE!</v>
      </c>
      <c r="D107" s="55" t="e">
        <f t="shared" si="32"/>
        <v>#VALUE!</v>
      </c>
      <c r="E107" s="74" t="e">
        <f t="shared" si="45"/>
        <v>#VALUE!</v>
      </c>
      <c r="F107" s="60">
        <f t="shared" si="46"/>
        <v>0.5</v>
      </c>
      <c r="G107" s="66">
        <v>83.25</v>
      </c>
      <c r="H107" s="56" t="e">
        <f t="shared" si="33"/>
        <v>#VALUE!</v>
      </c>
      <c r="I107" s="55" t="e">
        <f t="shared" si="47"/>
        <v>#VALUE!</v>
      </c>
      <c r="J107" s="75">
        <f t="shared" si="48"/>
        <v>0.6</v>
      </c>
      <c r="K107" s="64">
        <f t="shared" si="49"/>
        <v>1711.3299999999992</v>
      </c>
      <c r="L107" s="64">
        <f t="shared" si="50"/>
        <v>1630.2599999999993</v>
      </c>
      <c r="M107" s="56" t="e">
        <f t="shared" si="51"/>
        <v>#VALUE!</v>
      </c>
      <c r="N107" s="56" t="e">
        <f t="shared" si="52"/>
        <v>#VALUE!</v>
      </c>
      <c r="O107" s="69" t="e">
        <f t="shared" si="53"/>
        <v>#VALUE!</v>
      </c>
      <c r="P107" s="45" t="e">
        <f t="shared" si="54"/>
        <v>#VALUE!</v>
      </c>
      <c r="Q107" s="45" t="e">
        <f t="shared" si="55"/>
        <v>#VALUE!</v>
      </c>
      <c r="R107" s="45" t="e">
        <f t="shared" si="58"/>
        <v>#VALUE!</v>
      </c>
      <c r="S107" s="52">
        <v>81.069999999999993</v>
      </c>
      <c r="T107" s="56" t="e">
        <f t="shared" si="40"/>
        <v>#VALUE!</v>
      </c>
      <c r="U107" s="56" t="e">
        <f t="shared" si="41"/>
        <v>#VALUE!</v>
      </c>
      <c r="V107" s="56" t="e">
        <f t="shared" si="34"/>
        <v>#VALUE!</v>
      </c>
      <c r="W107" s="71" t="e">
        <f t="shared" si="59"/>
        <v>#VALUE!</v>
      </c>
      <c r="X107" s="56">
        <f t="shared" si="35"/>
        <v>39.882244169554951</v>
      </c>
      <c r="Y107" s="66">
        <v>1.5</v>
      </c>
      <c r="Z107" s="66">
        <v>0.5</v>
      </c>
      <c r="AA107" s="66">
        <v>0.5</v>
      </c>
      <c r="AB107" s="56" t="e">
        <f t="shared" si="42"/>
        <v>#VALUE!</v>
      </c>
      <c r="AC107" s="73" t="e">
        <f t="shared" si="36"/>
        <v>#VALUE!</v>
      </c>
      <c r="AD107" s="56" t="e">
        <f t="shared" si="56"/>
        <v>#VALUE!</v>
      </c>
      <c r="AE107" s="48" t="e">
        <f t="shared" si="37"/>
        <v>#VALUE!</v>
      </c>
      <c r="AF107" s="72">
        <f t="shared" si="57"/>
        <v>5.1111111111111107</v>
      </c>
      <c r="AG107" s="72" t="e">
        <f t="shared" si="38"/>
        <v>#VALUE!</v>
      </c>
      <c r="AH107" s="72" t="e">
        <f t="shared" si="43"/>
        <v>#VALUE!</v>
      </c>
    </row>
    <row r="108" spans="1:34" x14ac:dyDescent="0.35">
      <c r="A108" s="63">
        <f t="shared" si="44"/>
        <v>-73</v>
      </c>
      <c r="B108" s="55">
        <f t="shared" si="31"/>
        <v>100.00000000000001</v>
      </c>
      <c r="C108" s="55" t="e">
        <f t="shared" si="39"/>
        <v>#VALUE!</v>
      </c>
      <c r="D108" s="55" t="e">
        <f t="shared" si="32"/>
        <v>#VALUE!</v>
      </c>
      <c r="E108" s="74" t="e">
        <f t="shared" si="45"/>
        <v>#VALUE!</v>
      </c>
      <c r="F108" s="60">
        <f t="shared" si="46"/>
        <v>0.5</v>
      </c>
      <c r="G108" s="66">
        <v>84.25</v>
      </c>
      <c r="H108" s="56" t="e">
        <f t="shared" si="33"/>
        <v>#VALUE!</v>
      </c>
      <c r="I108" s="55" t="e">
        <f t="shared" si="47"/>
        <v>#VALUE!</v>
      </c>
      <c r="J108" s="75">
        <f t="shared" si="48"/>
        <v>0.6</v>
      </c>
      <c r="K108" s="64">
        <f t="shared" si="49"/>
        <v>1630.2599999999993</v>
      </c>
      <c r="L108" s="64">
        <f t="shared" si="50"/>
        <v>1548.1899999999994</v>
      </c>
      <c r="M108" s="56" t="e">
        <f t="shared" si="51"/>
        <v>#VALUE!</v>
      </c>
      <c r="N108" s="56" t="e">
        <f t="shared" si="52"/>
        <v>#VALUE!</v>
      </c>
      <c r="O108" s="69" t="e">
        <f t="shared" si="53"/>
        <v>#VALUE!</v>
      </c>
      <c r="P108" s="45" t="e">
        <f t="shared" si="54"/>
        <v>#VALUE!</v>
      </c>
      <c r="Q108" s="45" t="e">
        <f t="shared" si="55"/>
        <v>#VALUE!</v>
      </c>
      <c r="R108" s="45" t="e">
        <f t="shared" si="58"/>
        <v>#VALUE!</v>
      </c>
      <c r="S108" s="52">
        <v>82.07</v>
      </c>
      <c r="T108" s="56" t="e">
        <f t="shared" si="40"/>
        <v>#VALUE!</v>
      </c>
      <c r="U108" s="56" t="e">
        <f t="shared" si="41"/>
        <v>#VALUE!</v>
      </c>
      <c r="V108" s="56" t="e">
        <f t="shared" si="34"/>
        <v>#VALUE!</v>
      </c>
      <c r="W108" s="71" t="e">
        <f t="shared" si="59"/>
        <v>#VALUE!</v>
      </c>
      <c r="X108" s="56">
        <f t="shared" si="35"/>
        <v>40.127464410301329</v>
      </c>
      <c r="Y108" s="66">
        <v>1.5</v>
      </c>
      <c r="Z108" s="66">
        <v>0.5</v>
      </c>
      <c r="AA108" s="66">
        <v>0.5</v>
      </c>
      <c r="AB108" s="56" t="e">
        <f t="shared" si="42"/>
        <v>#VALUE!</v>
      </c>
      <c r="AC108" s="73" t="e">
        <f t="shared" si="36"/>
        <v>#VALUE!</v>
      </c>
      <c r="AD108" s="56" t="e">
        <f t="shared" si="56"/>
        <v>#VALUE!</v>
      </c>
      <c r="AE108" s="48" t="e">
        <f t="shared" si="37"/>
        <v>#VALUE!</v>
      </c>
      <c r="AF108" s="72">
        <f t="shared" si="57"/>
        <v>5.1111111111111107</v>
      </c>
      <c r="AG108" s="72" t="e">
        <f t="shared" si="38"/>
        <v>#VALUE!</v>
      </c>
      <c r="AH108" s="72" t="e">
        <f t="shared" si="43"/>
        <v>#VALUE!</v>
      </c>
    </row>
    <row r="109" spans="1:34" x14ac:dyDescent="0.35">
      <c r="A109" s="63">
        <f t="shared" si="44"/>
        <v>-74</v>
      </c>
      <c r="B109" s="55">
        <f t="shared" si="31"/>
        <v>94.488888888888894</v>
      </c>
      <c r="C109" s="55" t="e">
        <f t="shared" si="39"/>
        <v>#VALUE!</v>
      </c>
      <c r="D109" s="55" t="e">
        <f t="shared" si="32"/>
        <v>#VALUE!</v>
      </c>
      <c r="E109" s="74" t="e">
        <f t="shared" si="45"/>
        <v>#VALUE!</v>
      </c>
      <c r="F109" s="60">
        <f t="shared" si="46"/>
        <v>0.5</v>
      </c>
      <c r="G109" s="66">
        <v>85.25</v>
      </c>
      <c r="H109" s="56" t="e">
        <f t="shared" si="33"/>
        <v>#VALUE!</v>
      </c>
      <c r="I109" s="55" t="e">
        <f t="shared" si="47"/>
        <v>#VALUE!</v>
      </c>
      <c r="J109" s="75">
        <f t="shared" si="48"/>
        <v>0.6</v>
      </c>
      <c r="K109" s="64">
        <f t="shared" si="49"/>
        <v>1548.1899999999994</v>
      </c>
      <c r="L109" s="64">
        <f t="shared" si="50"/>
        <v>1465.1199999999994</v>
      </c>
      <c r="M109" s="56" t="e">
        <f t="shared" si="51"/>
        <v>#VALUE!</v>
      </c>
      <c r="N109" s="56" t="e">
        <f t="shared" si="52"/>
        <v>#VALUE!</v>
      </c>
      <c r="O109" s="69" t="e">
        <f t="shared" si="53"/>
        <v>#VALUE!</v>
      </c>
      <c r="P109" s="45" t="e">
        <f t="shared" si="54"/>
        <v>#VALUE!</v>
      </c>
      <c r="Q109" s="45" t="e">
        <f t="shared" si="55"/>
        <v>#VALUE!</v>
      </c>
      <c r="R109" s="45" t="e">
        <f t="shared" si="58"/>
        <v>#VALUE!</v>
      </c>
      <c r="S109" s="52">
        <v>83.07</v>
      </c>
      <c r="T109" s="56" t="e">
        <f t="shared" si="40"/>
        <v>#VALUE!</v>
      </c>
      <c r="U109" s="56" t="e">
        <f t="shared" si="41"/>
        <v>#VALUE!</v>
      </c>
      <c r="V109" s="56" t="e">
        <f t="shared" si="34"/>
        <v>#VALUE!</v>
      </c>
      <c r="W109" s="71" t="e">
        <f t="shared" si="59"/>
        <v>#VALUE!</v>
      </c>
      <c r="X109" s="56">
        <f t="shared" si="35"/>
        <v>40.371195176759379</v>
      </c>
      <c r="Y109" s="66">
        <v>1.5</v>
      </c>
      <c r="Z109" s="66">
        <v>0.5</v>
      </c>
      <c r="AA109" s="66">
        <v>0.5</v>
      </c>
      <c r="AB109" s="56" t="e">
        <f t="shared" si="42"/>
        <v>#VALUE!</v>
      </c>
      <c r="AC109" s="73" t="e">
        <f t="shared" si="36"/>
        <v>#VALUE!</v>
      </c>
      <c r="AD109" s="56" t="e">
        <f t="shared" si="56"/>
        <v>#VALUE!</v>
      </c>
      <c r="AE109" s="48" t="e">
        <f t="shared" si="37"/>
        <v>#VALUE!</v>
      </c>
      <c r="AF109" s="72">
        <f t="shared" si="57"/>
        <v>5.1111111111111107</v>
      </c>
      <c r="AG109" s="72" t="e">
        <f t="shared" si="38"/>
        <v>#VALUE!</v>
      </c>
      <c r="AH109" s="72" t="e">
        <f t="shared" si="43"/>
        <v>#VALUE!</v>
      </c>
    </row>
    <row r="110" spans="1:34" x14ac:dyDescent="0.35">
      <c r="A110" s="63">
        <f t="shared" si="44"/>
        <v>-75</v>
      </c>
      <c r="B110" s="55">
        <f t="shared" si="31"/>
        <v>88.977777777777774</v>
      </c>
      <c r="C110" s="55" t="e">
        <f t="shared" si="39"/>
        <v>#VALUE!</v>
      </c>
      <c r="D110" s="55" t="e">
        <f t="shared" si="32"/>
        <v>#VALUE!</v>
      </c>
      <c r="E110" s="74" t="e">
        <f t="shared" si="45"/>
        <v>#VALUE!</v>
      </c>
      <c r="F110" s="60">
        <f t="shared" si="46"/>
        <v>0.5</v>
      </c>
      <c r="G110" s="66">
        <v>86.25</v>
      </c>
      <c r="H110" s="56" t="e">
        <f t="shared" si="33"/>
        <v>#VALUE!</v>
      </c>
      <c r="I110" s="55" t="e">
        <f t="shared" si="47"/>
        <v>#VALUE!</v>
      </c>
      <c r="J110" s="75">
        <f t="shared" si="48"/>
        <v>0.6</v>
      </c>
      <c r="K110" s="64">
        <f t="shared" si="49"/>
        <v>1465.1199999999994</v>
      </c>
      <c r="L110" s="64">
        <f t="shared" si="50"/>
        <v>1381.0499999999995</v>
      </c>
      <c r="M110" s="56" t="e">
        <f t="shared" si="51"/>
        <v>#VALUE!</v>
      </c>
      <c r="N110" s="56" t="e">
        <f t="shared" si="52"/>
        <v>#VALUE!</v>
      </c>
      <c r="O110" s="69" t="e">
        <f t="shared" si="53"/>
        <v>#VALUE!</v>
      </c>
      <c r="P110" s="45" t="e">
        <f t="shared" si="54"/>
        <v>#VALUE!</v>
      </c>
      <c r="Q110" s="45" t="e">
        <f t="shared" si="55"/>
        <v>#VALUE!</v>
      </c>
      <c r="R110" s="45" t="e">
        <f t="shared" si="58"/>
        <v>#VALUE!</v>
      </c>
      <c r="S110" s="52">
        <v>84.07</v>
      </c>
      <c r="T110" s="56" t="e">
        <f t="shared" si="40"/>
        <v>#VALUE!</v>
      </c>
      <c r="U110" s="56" t="e">
        <f t="shared" si="41"/>
        <v>#VALUE!</v>
      </c>
      <c r="V110" s="56" t="e">
        <f t="shared" si="34"/>
        <v>#VALUE!</v>
      </c>
      <c r="W110" s="71" t="e">
        <f t="shared" si="59"/>
        <v>#VALUE!</v>
      </c>
      <c r="X110" s="56">
        <f t="shared" si="35"/>
        <v>40.613463284974848</v>
      </c>
      <c r="Y110" s="66">
        <v>1.5</v>
      </c>
      <c r="Z110" s="66">
        <v>0.5</v>
      </c>
      <c r="AA110" s="66">
        <v>0.5</v>
      </c>
      <c r="AB110" s="56" t="e">
        <f t="shared" si="42"/>
        <v>#VALUE!</v>
      </c>
      <c r="AC110" s="73" t="e">
        <f t="shared" si="36"/>
        <v>#VALUE!</v>
      </c>
      <c r="AD110" s="56" t="e">
        <f t="shared" si="56"/>
        <v>#VALUE!</v>
      </c>
      <c r="AE110" s="48" t="e">
        <f t="shared" si="37"/>
        <v>#VALUE!</v>
      </c>
      <c r="AF110" s="72">
        <f t="shared" si="57"/>
        <v>5.1111111111111107</v>
      </c>
      <c r="AG110" s="72" t="e">
        <f t="shared" si="38"/>
        <v>#VALUE!</v>
      </c>
      <c r="AH110" s="72" t="e">
        <f t="shared" si="43"/>
        <v>#VALUE!</v>
      </c>
    </row>
    <row r="111" spans="1:34" x14ac:dyDescent="0.35">
      <c r="A111" s="63">
        <f t="shared" si="44"/>
        <v>-76</v>
      </c>
      <c r="B111" s="55">
        <f t="shared" si="31"/>
        <v>83.466666666666654</v>
      </c>
      <c r="C111" s="55" t="e">
        <f t="shared" si="39"/>
        <v>#VALUE!</v>
      </c>
      <c r="D111" s="55" t="e">
        <f t="shared" si="32"/>
        <v>#VALUE!</v>
      </c>
      <c r="E111" s="74" t="e">
        <f t="shared" si="45"/>
        <v>#VALUE!</v>
      </c>
      <c r="F111" s="60">
        <f t="shared" si="46"/>
        <v>0.5</v>
      </c>
      <c r="G111" s="66">
        <v>87.25</v>
      </c>
      <c r="H111" s="56" t="e">
        <f t="shared" si="33"/>
        <v>#VALUE!</v>
      </c>
      <c r="I111" s="55" t="e">
        <f t="shared" si="47"/>
        <v>#VALUE!</v>
      </c>
      <c r="J111" s="75">
        <f t="shared" si="48"/>
        <v>0.6</v>
      </c>
      <c r="K111" s="64">
        <f t="shared" si="49"/>
        <v>1381.0499999999995</v>
      </c>
      <c r="L111" s="64">
        <f t="shared" si="50"/>
        <v>1295.9799999999996</v>
      </c>
      <c r="M111" s="56" t="e">
        <f t="shared" si="51"/>
        <v>#VALUE!</v>
      </c>
      <c r="N111" s="56" t="e">
        <f t="shared" si="52"/>
        <v>#VALUE!</v>
      </c>
      <c r="O111" s="69" t="e">
        <f t="shared" si="53"/>
        <v>#VALUE!</v>
      </c>
      <c r="P111" s="45" t="e">
        <f t="shared" si="54"/>
        <v>#VALUE!</v>
      </c>
      <c r="Q111" s="45" t="e">
        <f t="shared" si="55"/>
        <v>#VALUE!</v>
      </c>
      <c r="R111" s="45" t="e">
        <f t="shared" si="58"/>
        <v>#VALUE!</v>
      </c>
      <c r="S111" s="52">
        <v>85.07</v>
      </c>
      <c r="T111" s="56" t="e">
        <f t="shared" si="40"/>
        <v>#VALUE!</v>
      </c>
      <c r="U111" s="56" t="e">
        <f t="shared" si="41"/>
        <v>#VALUE!</v>
      </c>
      <c r="V111" s="56" t="e">
        <f t="shared" si="34"/>
        <v>#VALUE!</v>
      </c>
      <c r="W111" s="71" t="e">
        <f t="shared" si="59"/>
        <v>#VALUE!</v>
      </c>
      <c r="X111" s="56">
        <f t="shared" si="35"/>
        <v>40.854294755876033</v>
      </c>
      <c r="Y111" s="66">
        <v>1.5</v>
      </c>
      <c r="Z111" s="66">
        <v>0.5</v>
      </c>
      <c r="AA111" s="66">
        <v>0.5</v>
      </c>
      <c r="AB111" s="56" t="e">
        <f t="shared" si="42"/>
        <v>#VALUE!</v>
      </c>
      <c r="AC111" s="73" t="e">
        <f t="shared" si="36"/>
        <v>#VALUE!</v>
      </c>
      <c r="AD111" s="56" t="e">
        <f t="shared" si="56"/>
        <v>#VALUE!</v>
      </c>
      <c r="AE111" s="48" t="e">
        <f t="shared" si="37"/>
        <v>#VALUE!</v>
      </c>
      <c r="AF111" s="72">
        <f t="shared" si="57"/>
        <v>5.1111111111111107</v>
      </c>
      <c r="AG111" s="72" t="e">
        <f t="shared" si="38"/>
        <v>#VALUE!</v>
      </c>
      <c r="AH111" s="72" t="e">
        <f t="shared" si="43"/>
        <v>#VALUE!</v>
      </c>
    </row>
    <row r="112" spans="1:34" x14ac:dyDescent="0.35">
      <c r="A112" s="63">
        <f t="shared" si="44"/>
        <v>-77</v>
      </c>
      <c r="B112" s="55">
        <f t="shared" si="31"/>
        <v>77.955555555555534</v>
      </c>
      <c r="C112" s="55" t="e">
        <f t="shared" si="39"/>
        <v>#VALUE!</v>
      </c>
      <c r="D112" s="55" t="e">
        <f t="shared" si="32"/>
        <v>#VALUE!</v>
      </c>
      <c r="E112" s="74" t="e">
        <f t="shared" si="45"/>
        <v>#VALUE!</v>
      </c>
      <c r="F112" s="60">
        <f t="shared" si="46"/>
        <v>0.5</v>
      </c>
      <c r="G112" s="66">
        <v>88.25</v>
      </c>
      <c r="H112" s="56" t="e">
        <f t="shared" si="33"/>
        <v>#VALUE!</v>
      </c>
      <c r="I112" s="55" t="e">
        <f t="shared" si="47"/>
        <v>#VALUE!</v>
      </c>
      <c r="J112" s="75">
        <f t="shared" si="48"/>
        <v>0.6</v>
      </c>
      <c r="K112" s="64">
        <f t="shared" si="49"/>
        <v>1295.9799999999996</v>
      </c>
      <c r="L112" s="64">
        <f t="shared" si="50"/>
        <v>1209.9099999999996</v>
      </c>
      <c r="M112" s="56" t="e">
        <f t="shared" si="51"/>
        <v>#VALUE!</v>
      </c>
      <c r="N112" s="56" t="e">
        <f t="shared" si="52"/>
        <v>#VALUE!</v>
      </c>
      <c r="O112" s="69" t="e">
        <f t="shared" si="53"/>
        <v>#VALUE!</v>
      </c>
      <c r="P112" s="45" t="e">
        <f t="shared" si="54"/>
        <v>#VALUE!</v>
      </c>
      <c r="Q112" s="45" t="e">
        <f t="shared" si="55"/>
        <v>#VALUE!</v>
      </c>
      <c r="R112" s="45" t="e">
        <f t="shared" si="58"/>
        <v>#VALUE!</v>
      </c>
      <c r="S112" s="52">
        <v>86.07</v>
      </c>
      <c r="T112" s="56" t="e">
        <f t="shared" si="40"/>
        <v>#VALUE!</v>
      </c>
      <c r="U112" s="56" t="e">
        <f t="shared" si="41"/>
        <v>#VALUE!</v>
      </c>
      <c r="V112" s="56" t="e">
        <f t="shared" si="34"/>
        <v>#VALUE!</v>
      </c>
      <c r="W112" s="71" t="e">
        <f t="shared" si="59"/>
        <v>#VALUE!</v>
      </c>
      <c r="X112" s="56">
        <f t="shared" si="35"/>
        <v>41.093714847893708</v>
      </c>
      <c r="Y112" s="66">
        <v>1.5</v>
      </c>
      <c r="Z112" s="66">
        <v>0.5</v>
      </c>
      <c r="AA112" s="66">
        <v>0.5</v>
      </c>
      <c r="AB112" s="56" t="e">
        <f t="shared" si="42"/>
        <v>#VALUE!</v>
      </c>
      <c r="AC112" s="73" t="e">
        <f t="shared" si="36"/>
        <v>#VALUE!</v>
      </c>
      <c r="AD112" s="56" t="e">
        <f t="shared" si="56"/>
        <v>#VALUE!</v>
      </c>
      <c r="AE112" s="48" t="e">
        <f t="shared" si="37"/>
        <v>#VALUE!</v>
      </c>
      <c r="AF112" s="72">
        <f t="shared" si="57"/>
        <v>5.1111111111111107</v>
      </c>
      <c r="AG112" s="72" t="e">
        <f t="shared" si="38"/>
        <v>#VALUE!</v>
      </c>
      <c r="AH112" s="72" t="e">
        <f t="shared" si="43"/>
        <v>#VALUE!</v>
      </c>
    </row>
    <row r="113" spans="1:34" x14ac:dyDescent="0.35">
      <c r="A113" s="63">
        <f t="shared" si="44"/>
        <v>-78</v>
      </c>
      <c r="B113" s="55">
        <f t="shared" si="31"/>
        <v>72.444444444444414</v>
      </c>
      <c r="C113" s="55" t="e">
        <f t="shared" si="39"/>
        <v>#VALUE!</v>
      </c>
      <c r="D113" s="55" t="e">
        <f t="shared" si="32"/>
        <v>#VALUE!</v>
      </c>
      <c r="E113" s="74" t="e">
        <f t="shared" si="45"/>
        <v>#VALUE!</v>
      </c>
      <c r="F113" s="60">
        <f t="shared" si="46"/>
        <v>0.5</v>
      </c>
      <c r="G113" s="66">
        <v>89.25</v>
      </c>
      <c r="H113" s="56" t="e">
        <f t="shared" si="33"/>
        <v>#VALUE!</v>
      </c>
      <c r="I113" s="55" t="e">
        <f t="shared" si="47"/>
        <v>#VALUE!</v>
      </c>
      <c r="J113" s="75">
        <f t="shared" si="48"/>
        <v>0.6</v>
      </c>
      <c r="K113" s="64">
        <f t="shared" si="49"/>
        <v>1209.9099999999996</v>
      </c>
      <c r="L113" s="64">
        <f t="shared" si="50"/>
        <v>1122.8399999999997</v>
      </c>
      <c r="M113" s="56" t="e">
        <f t="shared" si="51"/>
        <v>#VALUE!</v>
      </c>
      <c r="N113" s="56" t="e">
        <f t="shared" si="52"/>
        <v>#VALUE!</v>
      </c>
      <c r="O113" s="69" t="e">
        <f t="shared" si="53"/>
        <v>#VALUE!</v>
      </c>
      <c r="P113" s="45" t="e">
        <f t="shared" si="54"/>
        <v>#VALUE!</v>
      </c>
      <c r="Q113" s="45" t="e">
        <f t="shared" si="55"/>
        <v>#VALUE!</v>
      </c>
      <c r="R113" s="45" t="e">
        <f t="shared" si="58"/>
        <v>#VALUE!</v>
      </c>
      <c r="S113" s="52">
        <v>87.07</v>
      </c>
      <c r="T113" s="56" t="e">
        <f t="shared" si="40"/>
        <v>#VALUE!</v>
      </c>
      <c r="U113" s="56" t="e">
        <f t="shared" si="41"/>
        <v>#VALUE!</v>
      </c>
      <c r="V113" s="56" t="e">
        <f t="shared" si="34"/>
        <v>#VALUE!</v>
      </c>
      <c r="W113" s="71" t="e">
        <f t="shared" si="59"/>
        <v>#VALUE!</v>
      </c>
      <c r="X113" s="56">
        <f t="shared" si="35"/>
        <v>41.331748087880335</v>
      </c>
      <c r="Y113" s="66">
        <v>1.5</v>
      </c>
      <c r="Z113" s="66">
        <v>0.5</v>
      </c>
      <c r="AA113" s="66">
        <v>0.5</v>
      </c>
      <c r="AB113" s="56" t="e">
        <f t="shared" si="42"/>
        <v>#VALUE!</v>
      </c>
      <c r="AC113" s="73" t="e">
        <f t="shared" si="36"/>
        <v>#VALUE!</v>
      </c>
      <c r="AD113" s="56" t="e">
        <f t="shared" si="56"/>
        <v>#VALUE!</v>
      </c>
      <c r="AE113" s="48" t="e">
        <f t="shared" si="37"/>
        <v>#VALUE!</v>
      </c>
      <c r="AF113" s="72">
        <f t="shared" si="57"/>
        <v>5.1111111111111107</v>
      </c>
      <c r="AG113" s="72" t="e">
        <f t="shared" si="38"/>
        <v>#VALUE!</v>
      </c>
      <c r="AH113" s="72" t="e">
        <f t="shared" si="43"/>
        <v>#VALUE!</v>
      </c>
    </row>
    <row r="114" spans="1:34" x14ac:dyDescent="0.35">
      <c r="A114" s="63">
        <f t="shared" si="44"/>
        <v>-79</v>
      </c>
      <c r="B114" s="55">
        <f t="shared" si="31"/>
        <v>66.933333333333294</v>
      </c>
      <c r="C114" s="55" t="e">
        <f t="shared" si="39"/>
        <v>#VALUE!</v>
      </c>
      <c r="D114" s="55" t="e">
        <f t="shared" si="32"/>
        <v>#VALUE!</v>
      </c>
      <c r="E114" s="74" t="e">
        <f t="shared" si="45"/>
        <v>#VALUE!</v>
      </c>
      <c r="F114" s="60">
        <f t="shared" si="46"/>
        <v>0.5</v>
      </c>
      <c r="G114" s="66">
        <v>90.25</v>
      </c>
      <c r="H114" s="56" t="e">
        <f t="shared" si="33"/>
        <v>#VALUE!</v>
      </c>
      <c r="I114" s="55" t="e">
        <f t="shared" si="47"/>
        <v>#VALUE!</v>
      </c>
      <c r="J114" s="75">
        <f t="shared" si="48"/>
        <v>0.6</v>
      </c>
      <c r="K114" s="64">
        <f t="shared" si="49"/>
        <v>1122.8399999999997</v>
      </c>
      <c r="L114" s="64">
        <f t="shared" si="50"/>
        <v>1034.7699999999998</v>
      </c>
      <c r="M114" s="56" t="e">
        <f t="shared" si="51"/>
        <v>#VALUE!</v>
      </c>
      <c r="N114" s="56" t="e">
        <f t="shared" si="52"/>
        <v>#VALUE!</v>
      </c>
      <c r="O114" s="69" t="e">
        <f t="shared" si="53"/>
        <v>#VALUE!</v>
      </c>
      <c r="P114" s="45" t="e">
        <f t="shared" si="54"/>
        <v>#VALUE!</v>
      </c>
      <c r="Q114" s="45" t="e">
        <f t="shared" si="55"/>
        <v>#VALUE!</v>
      </c>
      <c r="R114" s="45" t="e">
        <f t="shared" si="58"/>
        <v>#VALUE!</v>
      </c>
      <c r="S114" s="52">
        <v>88.07</v>
      </c>
      <c r="T114" s="56" t="e">
        <f t="shared" si="40"/>
        <v>#VALUE!</v>
      </c>
      <c r="U114" s="56" t="e">
        <f t="shared" si="41"/>
        <v>#VALUE!</v>
      </c>
      <c r="V114" s="56" t="e">
        <f t="shared" si="34"/>
        <v>#VALUE!</v>
      </c>
      <c r="W114" s="71" t="e">
        <f t="shared" si="59"/>
        <v>#VALUE!</v>
      </c>
      <c r="X114" s="56">
        <f t="shared" si="35"/>
        <v>41.568418300435731</v>
      </c>
      <c r="Y114" s="66">
        <v>1.5</v>
      </c>
      <c r="Z114" s="66">
        <v>0.5</v>
      </c>
      <c r="AA114" s="66">
        <v>0.5</v>
      </c>
      <c r="AB114" s="56" t="e">
        <f t="shared" si="42"/>
        <v>#VALUE!</v>
      </c>
      <c r="AC114" s="73" t="e">
        <f t="shared" si="36"/>
        <v>#VALUE!</v>
      </c>
      <c r="AD114" s="56" t="e">
        <f t="shared" si="56"/>
        <v>#VALUE!</v>
      </c>
      <c r="AE114" s="48" t="e">
        <f t="shared" si="37"/>
        <v>#VALUE!</v>
      </c>
      <c r="AF114" s="72">
        <f t="shared" si="57"/>
        <v>5.1111111111111107</v>
      </c>
      <c r="AG114" s="72" t="e">
        <f t="shared" si="38"/>
        <v>#VALUE!</v>
      </c>
      <c r="AH114" s="72" t="e">
        <f t="shared" si="43"/>
        <v>#VALUE!</v>
      </c>
    </row>
    <row r="115" spans="1:34" x14ac:dyDescent="0.35">
      <c r="A115" s="63">
        <f t="shared" si="44"/>
        <v>-80</v>
      </c>
      <c r="B115" s="55">
        <f t="shared" si="31"/>
        <v>61.422222222222182</v>
      </c>
      <c r="C115" s="55" t="e">
        <f t="shared" si="39"/>
        <v>#VALUE!</v>
      </c>
      <c r="D115" s="55" t="e">
        <f t="shared" si="32"/>
        <v>#VALUE!</v>
      </c>
      <c r="E115" s="74" t="e">
        <f t="shared" si="45"/>
        <v>#VALUE!</v>
      </c>
      <c r="F115" s="60">
        <f t="shared" si="46"/>
        <v>0.5</v>
      </c>
      <c r="G115" s="66">
        <v>91.25</v>
      </c>
      <c r="H115" s="56" t="e">
        <f t="shared" si="33"/>
        <v>#VALUE!</v>
      </c>
      <c r="I115" s="55" t="e">
        <f t="shared" si="47"/>
        <v>#VALUE!</v>
      </c>
      <c r="J115" s="75">
        <f t="shared" si="48"/>
        <v>0.6</v>
      </c>
      <c r="K115" s="64">
        <f t="shared" si="49"/>
        <v>1034.7699999999998</v>
      </c>
      <c r="L115" s="64">
        <f t="shared" si="50"/>
        <v>945.69999999999982</v>
      </c>
      <c r="M115" s="56" t="e">
        <f t="shared" si="51"/>
        <v>#VALUE!</v>
      </c>
      <c r="N115" s="56" t="e">
        <f t="shared" si="52"/>
        <v>#VALUE!</v>
      </c>
      <c r="O115" s="69" t="e">
        <f t="shared" si="53"/>
        <v>#VALUE!</v>
      </c>
      <c r="P115" s="45" t="e">
        <f t="shared" si="54"/>
        <v>#VALUE!</v>
      </c>
      <c r="Q115" s="45" t="e">
        <f t="shared" si="55"/>
        <v>#VALUE!</v>
      </c>
      <c r="R115" s="45" t="e">
        <f t="shared" si="58"/>
        <v>#VALUE!</v>
      </c>
      <c r="S115" s="52">
        <v>89.07</v>
      </c>
      <c r="T115" s="56" t="e">
        <f t="shared" si="40"/>
        <v>#VALUE!</v>
      </c>
      <c r="U115" s="56" t="e">
        <f t="shared" si="41"/>
        <v>#VALUE!</v>
      </c>
      <c r="V115" s="56" t="e">
        <f t="shared" si="34"/>
        <v>#VALUE!</v>
      </c>
      <c r="W115" s="71" t="e">
        <f t="shared" si="59"/>
        <v>#VALUE!</v>
      </c>
      <c r="X115" s="56">
        <f t="shared" si="35"/>
        <v>41.803748635738401</v>
      </c>
      <c r="Y115" s="66">
        <v>1.5</v>
      </c>
      <c r="Z115" s="66">
        <v>0.5</v>
      </c>
      <c r="AA115" s="66">
        <v>0.5</v>
      </c>
      <c r="AB115" s="56" t="e">
        <f t="shared" si="42"/>
        <v>#VALUE!</v>
      </c>
      <c r="AC115" s="73" t="e">
        <f t="shared" si="36"/>
        <v>#VALUE!</v>
      </c>
      <c r="AD115" s="56" t="e">
        <f t="shared" si="56"/>
        <v>#VALUE!</v>
      </c>
      <c r="AE115" s="48" t="e">
        <f t="shared" si="37"/>
        <v>#VALUE!</v>
      </c>
      <c r="AF115" s="72">
        <f t="shared" si="57"/>
        <v>5.1111111111111107</v>
      </c>
      <c r="AG115" s="72" t="e">
        <f t="shared" si="38"/>
        <v>#VALUE!</v>
      </c>
      <c r="AH115" s="72" t="e">
        <f t="shared" si="43"/>
        <v>#VALUE!</v>
      </c>
    </row>
    <row r="116" spans="1:34" x14ac:dyDescent="0.35">
      <c r="A116" s="63">
        <f t="shared" si="44"/>
        <v>-81</v>
      </c>
      <c r="B116" s="55">
        <f t="shared" si="31"/>
        <v>55.911111111111076</v>
      </c>
      <c r="C116" s="55" t="e">
        <f t="shared" si="39"/>
        <v>#VALUE!</v>
      </c>
      <c r="D116" s="55" t="e">
        <f t="shared" si="32"/>
        <v>#VALUE!</v>
      </c>
      <c r="E116" s="74" t="e">
        <f t="shared" si="45"/>
        <v>#VALUE!</v>
      </c>
      <c r="F116" s="60">
        <f t="shared" si="46"/>
        <v>0.5</v>
      </c>
      <c r="G116" s="66">
        <v>92.25</v>
      </c>
      <c r="H116" s="56" t="e">
        <f t="shared" si="33"/>
        <v>#VALUE!</v>
      </c>
      <c r="I116" s="55" t="e">
        <f t="shared" si="47"/>
        <v>#VALUE!</v>
      </c>
      <c r="J116" s="75">
        <f t="shared" si="48"/>
        <v>0.6</v>
      </c>
      <c r="K116" s="64">
        <f t="shared" si="49"/>
        <v>945.69999999999982</v>
      </c>
      <c r="L116" s="64">
        <f t="shared" si="50"/>
        <v>855.62999999999988</v>
      </c>
      <c r="M116" s="56" t="e">
        <f t="shared" si="51"/>
        <v>#VALUE!</v>
      </c>
      <c r="N116" s="56" t="e">
        <f t="shared" si="52"/>
        <v>#VALUE!</v>
      </c>
      <c r="O116" s="69" t="e">
        <f t="shared" si="53"/>
        <v>#VALUE!</v>
      </c>
      <c r="P116" s="45" t="e">
        <f t="shared" si="54"/>
        <v>#VALUE!</v>
      </c>
      <c r="Q116" s="45" t="e">
        <f t="shared" si="55"/>
        <v>#VALUE!</v>
      </c>
      <c r="R116" s="45" t="e">
        <f t="shared" si="58"/>
        <v>#VALUE!</v>
      </c>
      <c r="S116" s="52">
        <v>90.07</v>
      </c>
      <c r="T116" s="56" t="e">
        <f t="shared" si="40"/>
        <v>#VALUE!</v>
      </c>
      <c r="U116" s="56" t="e">
        <f t="shared" si="41"/>
        <v>#VALUE!</v>
      </c>
      <c r="V116" s="56" t="e">
        <f t="shared" si="34"/>
        <v>#VALUE!</v>
      </c>
      <c r="W116" s="71" t="e">
        <f t="shared" si="59"/>
        <v>#VALUE!</v>
      </c>
      <c r="X116" s="56">
        <f t="shared" si="35"/>
        <v>42.037761595974636</v>
      </c>
      <c r="Y116" s="66">
        <v>1.5</v>
      </c>
      <c r="Z116" s="66">
        <v>0.5</v>
      </c>
      <c r="AA116" s="66">
        <v>0.5</v>
      </c>
      <c r="AB116" s="56" t="e">
        <f t="shared" si="42"/>
        <v>#VALUE!</v>
      </c>
      <c r="AC116" s="73" t="e">
        <f t="shared" si="36"/>
        <v>#VALUE!</v>
      </c>
      <c r="AD116" s="56" t="e">
        <f t="shared" si="56"/>
        <v>#VALUE!</v>
      </c>
      <c r="AE116" s="48" t="e">
        <f t="shared" si="37"/>
        <v>#VALUE!</v>
      </c>
      <c r="AF116" s="72">
        <f t="shared" si="57"/>
        <v>5.1111111111111107</v>
      </c>
      <c r="AG116" s="72" t="e">
        <f t="shared" si="38"/>
        <v>#VALUE!</v>
      </c>
      <c r="AH116" s="72" t="e">
        <f t="shared" si="43"/>
        <v>#VALUE!</v>
      </c>
    </row>
    <row r="117" spans="1:34" x14ac:dyDescent="0.35">
      <c r="A117" s="63">
        <f t="shared" si="44"/>
        <v>-82</v>
      </c>
      <c r="B117" s="55">
        <f t="shared" si="31"/>
        <v>50.39999999999997</v>
      </c>
      <c r="C117" s="55" t="e">
        <f t="shared" si="39"/>
        <v>#VALUE!</v>
      </c>
      <c r="D117" s="55" t="e">
        <f t="shared" si="32"/>
        <v>#VALUE!</v>
      </c>
      <c r="E117" s="74" t="e">
        <f t="shared" si="45"/>
        <v>#VALUE!</v>
      </c>
      <c r="F117" s="60">
        <f t="shared" si="46"/>
        <v>0.5</v>
      </c>
      <c r="G117" s="66">
        <v>93.25</v>
      </c>
      <c r="H117" s="56" t="e">
        <f t="shared" si="33"/>
        <v>#VALUE!</v>
      </c>
      <c r="I117" s="55" t="e">
        <f t="shared" si="47"/>
        <v>#VALUE!</v>
      </c>
      <c r="J117" s="75">
        <f t="shared" si="48"/>
        <v>0.6</v>
      </c>
      <c r="K117" s="64">
        <f t="shared" si="49"/>
        <v>855.62999999999988</v>
      </c>
      <c r="L117" s="64">
        <f t="shared" si="50"/>
        <v>764.56</v>
      </c>
      <c r="M117" s="56" t="e">
        <f t="shared" si="51"/>
        <v>#VALUE!</v>
      </c>
      <c r="N117" s="56" t="e">
        <f t="shared" si="52"/>
        <v>#VALUE!</v>
      </c>
      <c r="O117" s="69" t="e">
        <f t="shared" si="53"/>
        <v>#VALUE!</v>
      </c>
      <c r="P117" s="45" t="e">
        <f t="shared" si="54"/>
        <v>#VALUE!</v>
      </c>
      <c r="Q117" s="45" t="e">
        <f t="shared" si="55"/>
        <v>#VALUE!</v>
      </c>
      <c r="R117" s="45" t="e">
        <f t="shared" si="58"/>
        <v>#VALUE!</v>
      </c>
      <c r="S117" s="52">
        <v>91.07</v>
      </c>
      <c r="T117" s="56" t="e">
        <f t="shared" si="40"/>
        <v>#VALUE!</v>
      </c>
      <c r="U117" s="56" t="e">
        <f t="shared" si="41"/>
        <v>#VALUE!</v>
      </c>
      <c r="V117" s="56" t="e">
        <f t="shared" si="34"/>
        <v>#VALUE!</v>
      </c>
      <c r="W117" s="71" t="e">
        <f t="shared" si="59"/>
        <v>#VALUE!</v>
      </c>
      <c r="X117" s="56">
        <f t="shared" si="35"/>
        <v>42.27047906045069</v>
      </c>
      <c r="Y117" s="66">
        <v>1.5</v>
      </c>
      <c r="Z117" s="66">
        <v>0.5</v>
      </c>
      <c r="AA117" s="66">
        <v>0.5</v>
      </c>
      <c r="AB117" s="56" t="e">
        <f t="shared" si="42"/>
        <v>#VALUE!</v>
      </c>
      <c r="AC117" s="73" t="e">
        <f t="shared" si="36"/>
        <v>#VALUE!</v>
      </c>
      <c r="AD117" s="56" t="e">
        <f t="shared" si="56"/>
        <v>#VALUE!</v>
      </c>
      <c r="AE117" s="48" t="e">
        <f t="shared" si="37"/>
        <v>#VALUE!</v>
      </c>
      <c r="AF117" s="72">
        <f t="shared" si="57"/>
        <v>5.1111111111111107</v>
      </c>
      <c r="AG117" s="72" t="e">
        <f t="shared" si="38"/>
        <v>#VALUE!</v>
      </c>
      <c r="AH117" s="72" t="e">
        <f t="shared" si="43"/>
        <v>#VALUE!</v>
      </c>
    </row>
    <row r="118" spans="1:34" x14ac:dyDescent="0.35">
      <c r="A118" s="63">
        <f t="shared" si="44"/>
        <v>-83</v>
      </c>
      <c r="B118" s="55">
        <f t="shared" si="31"/>
        <v>44.888888888888864</v>
      </c>
      <c r="C118" s="55" t="e">
        <f t="shared" si="39"/>
        <v>#VALUE!</v>
      </c>
      <c r="D118" s="55" t="e">
        <f t="shared" si="32"/>
        <v>#VALUE!</v>
      </c>
      <c r="E118" s="74" t="e">
        <f t="shared" si="45"/>
        <v>#VALUE!</v>
      </c>
      <c r="F118" s="60">
        <f t="shared" si="46"/>
        <v>0.5</v>
      </c>
      <c r="G118" s="66">
        <v>94.25</v>
      </c>
      <c r="H118" s="56" t="e">
        <f t="shared" si="33"/>
        <v>#VALUE!</v>
      </c>
      <c r="I118" s="55" t="e">
        <f t="shared" si="47"/>
        <v>#VALUE!</v>
      </c>
      <c r="J118" s="75">
        <f t="shared" si="48"/>
        <v>0.6</v>
      </c>
      <c r="K118" s="64">
        <f t="shared" si="49"/>
        <v>764.56</v>
      </c>
      <c r="L118" s="64">
        <f t="shared" si="50"/>
        <v>672.49</v>
      </c>
      <c r="M118" s="56" t="e">
        <f t="shared" si="51"/>
        <v>#VALUE!</v>
      </c>
      <c r="N118" s="56" t="e">
        <f t="shared" si="52"/>
        <v>#VALUE!</v>
      </c>
      <c r="O118" s="69" t="e">
        <f t="shared" si="53"/>
        <v>#VALUE!</v>
      </c>
      <c r="P118" s="45" t="e">
        <f t="shared" si="54"/>
        <v>#VALUE!</v>
      </c>
      <c r="Q118" s="45" t="e">
        <f t="shared" si="55"/>
        <v>#VALUE!</v>
      </c>
      <c r="R118" s="45" t="e">
        <f t="shared" si="58"/>
        <v>#VALUE!</v>
      </c>
      <c r="S118" s="52">
        <v>92.07</v>
      </c>
      <c r="T118" s="56" t="e">
        <f t="shared" si="40"/>
        <v>#VALUE!</v>
      </c>
      <c r="U118" s="56" t="e">
        <f t="shared" si="41"/>
        <v>#VALUE!</v>
      </c>
      <c r="V118" s="56" t="e">
        <f t="shared" si="34"/>
        <v>#VALUE!</v>
      </c>
      <c r="W118" s="71" t="e">
        <f t="shared" si="59"/>
        <v>#VALUE!</v>
      </c>
      <c r="X118" s="56">
        <f t="shared" si="35"/>
        <v>42.501922309467368</v>
      </c>
      <c r="Y118" s="66">
        <v>1.5</v>
      </c>
      <c r="Z118" s="66">
        <v>0.5</v>
      </c>
      <c r="AA118" s="66">
        <v>0.5</v>
      </c>
      <c r="AB118" s="56" t="e">
        <f t="shared" si="42"/>
        <v>#VALUE!</v>
      </c>
      <c r="AC118" s="73" t="e">
        <f t="shared" si="36"/>
        <v>#VALUE!</v>
      </c>
      <c r="AD118" s="56" t="e">
        <f t="shared" si="56"/>
        <v>#VALUE!</v>
      </c>
      <c r="AE118" s="48" t="e">
        <f t="shared" si="37"/>
        <v>#VALUE!</v>
      </c>
      <c r="AF118" s="72">
        <f t="shared" si="57"/>
        <v>5.1111111111111107</v>
      </c>
      <c r="AG118" s="72" t="e">
        <f t="shared" si="38"/>
        <v>#VALUE!</v>
      </c>
      <c r="AH118" s="72" t="e">
        <f t="shared" si="43"/>
        <v>#VALUE!</v>
      </c>
    </row>
    <row r="119" spans="1:34" x14ac:dyDescent="0.35">
      <c r="A119" s="63">
        <f t="shared" si="44"/>
        <v>-84</v>
      </c>
      <c r="B119" s="55">
        <f t="shared" si="31"/>
        <v>39.377777777777759</v>
      </c>
      <c r="C119" s="55" t="e">
        <f t="shared" si="39"/>
        <v>#VALUE!</v>
      </c>
      <c r="D119" s="55" t="e">
        <f t="shared" si="32"/>
        <v>#VALUE!</v>
      </c>
      <c r="E119" s="74" t="e">
        <f t="shared" si="45"/>
        <v>#VALUE!</v>
      </c>
      <c r="F119" s="60">
        <f t="shared" si="46"/>
        <v>0.5</v>
      </c>
      <c r="G119" s="66">
        <v>95.25</v>
      </c>
      <c r="H119" s="56" t="e">
        <f t="shared" si="33"/>
        <v>#VALUE!</v>
      </c>
      <c r="I119" s="55" t="e">
        <f t="shared" si="47"/>
        <v>#VALUE!</v>
      </c>
      <c r="J119" s="75">
        <f t="shared" si="48"/>
        <v>0.6</v>
      </c>
      <c r="K119" s="64">
        <f t="shared" si="49"/>
        <v>672.49</v>
      </c>
      <c r="L119" s="64">
        <f t="shared" si="50"/>
        <v>579.41999999999996</v>
      </c>
      <c r="M119" s="56" t="e">
        <f t="shared" si="51"/>
        <v>#VALUE!</v>
      </c>
      <c r="N119" s="56" t="e">
        <f t="shared" si="52"/>
        <v>#VALUE!</v>
      </c>
      <c r="O119" s="69" t="e">
        <f t="shared" si="53"/>
        <v>#VALUE!</v>
      </c>
      <c r="P119" s="45" t="e">
        <f t="shared" si="54"/>
        <v>#VALUE!</v>
      </c>
      <c r="Q119" s="45" t="e">
        <f t="shared" si="55"/>
        <v>#VALUE!</v>
      </c>
      <c r="R119" s="45" t="e">
        <f t="shared" si="58"/>
        <v>#VALUE!</v>
      </c>
      <c r="S119" s="52">
        <v>93.07</v>
      </c>
      <c r="T119" s="56" t="e">
        <f t="shared" si="40"/>
        <v>#VALUE!</v>
      </c>
      <c r="U119" s="56" t="e">
        <f t="shared" si="41"/>
        <v>#VALUE!</v>
      </c>
      <c r="V119" s="56" t="e">
        <f t="shared" si="34"/>
        <v>#VALUE!</v>
      </c>
      <c r="W119" s="71" t="e">
        <f t="shared" si="59"/>
        <v>#VALUE!</v>
      </c>
      <c r="X119" s="56">
        <f t="shared" si="35"/>
        <v>42.73211204703086</v>
      </c>
      <c r="Y119" s="66">
        <v>1.5</v>
      </c>
      <c r="Z119" s="66">
        <v>0.5</v>
      </c>
      <c r="AA119" s="66">
        <v>0.5</v>
      </c>
      <c r="AB119" s="56" t="e">
        <f t="shared" si="42"/>
        <v>#VALUE!</v>
      </c>
      <c r="AC119" s="73" t="e">
        <f t="shared" si="36"/>
        <v>#VALUE!</v>
      </c>
      <c r="AD119" s="56" t="e">
        <f t="shared" si="56"/>
        <v>#VALUE!</v>
      </c>
      <c r="AE119" s="48" t="e">
        <f t="shared" si="37"/>
        <v>#VALUE!</v>
      </c>
      <c r="AF119" s="72">
        <f t="shared" si="57"/>
        <v>5.1111111111111107</v>
      </c>
      <c r="AG119" s="72" t="e">
        <f t="shared" si="38"/>
        <v>#VALUE!</v>
      </c>
      <c r="AH119" s="72" t="e">
        <f t="shared" si="43"/>
        <v>#VALUE!</v>
      </c>
    </row>
    <row r="120" spans="1:34" x14ac:dyDescent="0.35">
      <c r="A120" s="63">
        <f t="shared" si="44"/>
        <v>-85</v>
      </c>
      <c r="B120" s="55">
        <f t="shared" si="31"/>
        <v>33.866666666666653</v>
      </c>
      <c r="C120" s="55" t="e">
        <f t="shared" si="39"/>
        <v>#VALUE!</v>
      </c>
      <c r="D120" s="55" t="e">
        <f t="shared" si="32"/>
        <v>#VALUE!</v>
      </c>
      <c r="E120" s="74" t="e">
        <f t="shared" si="45"/>
        <v>#VALUE!</v>
      </c>
      <c r="F120" s="60">
        <f t="shared" si="46"/>
        <v>0.5</v>
      </c>
      <c r="G120" s="66">
        <v>96.25</v>
      </c>
      <c r="H120" s="56" t="e">
        <f t="shared" si="33"/>
        <v>#VALUE!</v>
      </c>
      <c r="I120" s="55" t="e">
        <f t="shared" si="47"/>
        <v>#VALUE!</v>
      </c>
      <c r="J120" s="75">
        <f t="shared" si="48"/>
        <v>0.6</v>
      </c>
      <c r="K120" s="64">
        <f t="shared" si="49"/>
        <v>579.41999999999996</v>
      </c>
      <c r="L120" s="64">
        <f t="shared" si="50"/>
        <v>485.34999999999997</v>
      </c>
      <c r="M120" s="56" t="e">
        <f t="shared" si="51"/>
        <v>#VALUE!</v>
      </c>
      <c r="N120" s="56" t="e">
        <f t="shared" si="52"/>
        <v>#VALUE!</v>
      </c>
      <c r="O120" s="69" t="e">
        <f t="shared" si="53"/>
        <v>#VALUE!</v>
      </c>
      <c r="P120" s="45" t="e">
        <f t="shared" si="54"/>
        <v>#VALUE!</v>
      </c>
      <c r="Q120" s="45" t="e">
        <f t="shared" si="55"/>
        <v>#VALUE!</v>
      </c>
      <c r="R120" s="45" t="e">
        <f t="shared" si="58"/>
        <v>#VALUE!</v>
      </c>
      <c r="S120" s="52">
        <v>94.07</v>
      </c>
      <c r="T120" s="56" t="e">
        <f t="shared" si="40"/>
        <v>#VALUE!</v>
      </c>
      <c r="U120" s="56" t="e">
        <f t="shared" si="41"/>
        <v>#VALUE!</v>
      </c>
      <c r="V120" s="56" t="e">
        <f t="shared" si="34"/>
        <v>#VALUE!</v>
      </c>
      <c r="W120" s="71" t="e">
        <f>M120^(3/2)*SQRT(2*9.81)*$F$17*T120*J120*2/3*$F$21+(M120+$F$16)^(3/2)*SQRT(2*9.81)*($F$15-$F$17)*U120*0.55*2/3*$F$21+V120</f>
        <v>#VALUE!</v>
      </c>
      <c r="X120" s="56">
        <f t="shared" si="35"/>
        <v>42.961068422468266</v>
      </c>
      <c r="Y120" s="66">
        <v>1.5</v>
      </c>
      <c r="Z120" s="66">
        <v>0.5</v>
      </c>
      <c r="AA120" s="66">
        <v>0.5</v>
      </c>
      <c r="AB120" s="56" t="e">
        <f t="shared" si="42"/>
        <v>#VALUE!</v>
      </c>
      <c r="AC120" s="73" t="e">
        <f t="shared" si="36"/>
        <v>#VALUE!</v>
      </c>
      <c r="AD120" s="56" t="e">
        <f t="shared" si="56"/>
        <v>#VALUE!</v>
      </c>
      <c r="AE120" s="48" t="e">
        <f t="shared" si="37"/>
        <v>#VALUE!</v>
      </c>
      <c r="AF120" s="72">
        <f t="shared" si="57"/>
        <v>5.1111111111111107</v>
      </c>
      <c r="AG120" s="72" t="e">
        <f t="shared" si="38"/>
        <v>#VALUE!</v>
      </c>
      <c r="AH120" s="72" t="e">
        <f t="shared" si="43"/>
        <v>#VALUE!</v>
      </c>
    </row>
    <row r="121" spans="1:34" x14ac:dyDescent="0.35">
      <c r="A121" s="63">
        <f t="shared" si="44"/>
        <v>-86</v>
      </c>
      <c r="B121" s="55">
        <f t="shared" si="31"/>
        <v>28.355555555555547</v>
      </c>
      <c r="C121" s="55" t="e">
        <f t="shared" si="39"/>
        <v>#VALUE!</v>
      </c>
      <c r="D121" s="55" t="e">
        <f>C121-$F$18*$N$10</f>
        <v>#VALUE!</v>
      </c>
      <c r="E121" s="74" t="e">
        <f t="shared" si="45"/>
        <v>#VALUE!</v>
      </c>
      <c r="F121" s="60">
        <f t="shared" si="46"/>
        <v>0.5</v>
      </c>
      <c r="G121" s="66">
        <v>97.25</v>
      </c>
      <c r="H121" s="56" t="e">
        <f t="shared" si="33"/>
        <v>#VALUE!</v>
      </c>
      <c r="I121" s="55" t="e">
        <f t="shared" si="47"/>
        <v>#VALUE!</v>
      </c>
      <c r="J121" s="75">
        <f t="shared" si="48"/>
        <v>0.6</v>
      </c>
      <c r="K121" s="64">
        <f t="shared" si="49"/>
        <v>485.34999999999997</v>
      </c>
      <c r="L121" s="64">
        <f t="shared" si="50"/>
        <v>390.28</v>
      </c>
      <c r="M121" s="56" t="e">
        <f t="shared" si="51"/>
        <v>#VALUE!</v>
      </c>
      <c r="N121" s="56" t="e">
        <f t="shared" si="52"/>
        <v>#VALUE!</v>
      </c>
      <c r="O121" s="69" t="e">
        <f t="shared" si="53"/>
        <v>#VALUE!</v>
      </c>
      <c r="P121" s="45" t="e">
        <f t="shared" si="54"/>
        <v>#VALUE!</v>
      </c>
      <c r="Q121" s="45" t="e">
        <f t="shared" si="55"/>
        <v>#VALUE!</v>
      </c>
      <c r="R121" s="45" t="e">
        <f>IF(AND(Q121&lt;N121,P121&lt;(L121-D121)),"okay",IF(OR(Q121&lt;N121,P121&lt;(L121-D121)),"tlw.okay","nicht okay"))</f>
        <v>#VALUE!</v>
      </c>
      <c r="S121" s="52">
        <v>95.07</v>
      </c>
      <c r="T121" s="56" t="e">
        <f t="shared" si="40"/>
        <v>#VALUE!</v>
      </c>
      <c r="U121" s="56" t="e">
        <f t="shared" si="41"/>
        <v>#VALUE!</v>
      </c>
      <c r="V121" s="56" t="e">
        <f t="shared" si="34"/>
        <v>#VALUE!</v>
      </c>
      <c r="W121" s="71" t="e">
        <f>M121^(3/2)*SQRT(2*9.81)*$F$17*T121*J121*2/3*$F$21+(M121+$F$16)^(3/2)*SQRT(2*9.81)*($F$15-$F$17)*U121*0.55*2/3*$F$21+V121</f>
        <v>#VALUE!</v>
      </c>
      <c r="X121" s="56">
        <f t="shared" si="35"/>
        <v>43.188811051011811</v>
      </c>
      <c r="Y121" s="66">
        <v>1.5</v>
      </c>
      <c r="Z121" s="66">
        <v>0.5</v>
      </c>
      <c r="AA121" s="66">
        <v>0.5</v>
      </c>
      <c r="AB121" s="56" t="e">
        <f t="shared" si="42"/>
        <v>#VALUE!</v>
      </c>
      <c r="AC121" s="73" t="e">
        <f t="shared" si="36"/>
        <v>#VALUE!</v>
      </c>
      <c r="AD121" s="56" t="e">
        <f t="shared" si="56"/>
        <v>#VALUE!</v>
      </c>
      <c r="AE121" s="48" t="e">
        <f t="shared" si="37"/>
        <v>#VALUE!</v>
      </c>
      <c r="AF121" s="72">
        <f t="shared" si="57"/>
        <v>5.1111111111111107</v>
      </c>
      <c r="AG121" s="72" t="e">
        <f t="shared" si="38"/>
        <v>#VALUE!</v>
      </c>
      <c r="AH121" s="72" t="e">
        <f t="shared" si="43"/>
        <v>#VALUE!</v>
      </c>
    </row>
    <row r="122" spans="1:34" x14ac:dyDescent="0.35">
      <c r="A122" s="63">
        <f t="shared" si="44"/>
        <v>-87</v>
      </c>
      <c r="B122" s="55">
        <f t="shared" si="31"/>
        <v>22.844444444444438</v>
      </c>
      <c r="C122" s="55" t="e">
        <f t="shared" si="39"/>
        <v>#VALUE!</v>
      </c>
      <c r="D122" s="55" t="e">
        <f>C122-$F$18*$N$10</f>
        <v>#VALUE!</v>
      </c>
      <c r="E122" s="74" t="e">
        <f t="shared" si="45"/>
        <v>#VALUE!</v>
      </c>
      <c r="F122" s="60">
        <f t="shared" si="46"/>
        <v>0.5</v>
      </c>
      <c r="G122" s="66">
        <v>98.25</v>
      </c>
      <c r="H122" s="56" t="e">
        <f t="shared" si="33"/>
        <v>#VALUE!</v>
      </c>
      <c r="I122" s="55" t="e">
        <f t="shared" si="47"/>
        <v>#VALUE!</v>
      </c>
      <c r="J122" s="75">
        <f t="shared" si="48"/>
        <v>0.6</v>
      </c>
      <c r="K122" s="64">
        <f t="shared" si="49"/>
        <v>390.28</v>
      </c>
      <c r="L122" s="64">
        <f t="shared" si="50"/>
        <v>294.20999999999998</v>
      </c>
      <c r="M122" s="56" t="e">
        <f t="shared" si="51"/>
        <v>#VALUE!</v>
      </c>
      <c r="N122" s="56" t="e">
        <f t="shared" si="52"/>
        <v>#VALUE!</v>
      </c>
      <c r="O122" s="69" t="e">
        <f>N122+$F$16-$F$20/(2.5*3)</f>
        <v>#VALUE!</v>
      </c>
      <c r="P122" s="45" t="e">
        <f t="shared" si="54"/>
        <v>#VALUE!</v>
      </c>
      <c r="Q122" s="45" t="e">
        <f t="shared" si="55"/>
        <v>#VALUE!</v>
      </c>
      <c r="R122" s="45" t="e">
        <f>IF(AND(Q122&lt;N122,P122&lt;(L122-D122)),"okay",IF(OR(Q122&lt;N122,P122&lt;(L122-D122)),"tlw.okay","nicht okay"))</f>
        <v>#VALUE!</v>
      </c>
      <c r="S122" s="52">
        <v>96.07</v>
      </c>
      <c r="T122" s="56" t="e">
        <f t="shared" si="40"/>
        <v>#VALUE!</v>
      </c>
      <c r="U122" s="56" t="e">
        <f t="shared" si="41"/>
        <v>#VALUE!</v>
      </c>
      <c r="V122" s="56" t="e">
        <f t="shared" si="34"/>
        <v>#VALUE!</v>
      </c>
      <c r="W122" s="71" t="e">
        <f>M122^(3/2)*SQRT(2*9.81)*$F$17*T122*J122*2/3*$F$21+(M122+$F$16)^(3/2)*SQRT(2*9.81)*($F$15-$F$17)*U122*0.55*2/3*$F$21+V122</f>
        <v>#VALUE!</v>
      </c>
      <c r="X122" s="56">
        <f t="shared" si="35"/>
        <v>43.415359033411207</v>
      </c>
      <c r="Y122" s="66">
        <v>1.5</v>
      </c>
      <c r="Z122" s="66">
        <v>0.5</v>
      </c>
      <c r="AA122" s="66">
        <v>0.5</v>
      </c>
      <c r="AB122" s="56" t="e">
        <f t="shared" si="42"/>
        <v>#VALUE!</v>
      </c>
      <c r="AC122" s="73" t="e">
        <f t="shared" si="36"/>
        <v>#VALUE!</v>
      </c>
      <c r="AD122" s="56" t="e">
        <f t="shared" si="56"/>
        <v>#VALUE!</v>
      </c>
      <c r="AE122" s="48" t="e">
        <f t="shared" si="37"/>
        <v>#VALUE!</v>
      </c>
      <c r="AF122" s="72">
        <f t="shared" si="57"/>
        <v>5.1111111111111107</v>
      </c>
      <c r="AG122" s="72" t="e">
        <f t="shared" si="38"/>
        <v>#VALUE!</v>
      </c>
    </row>
    <row r="123" spans="1:34" x14ac:dyDescent="0.35">
      <c r="A123" s="63">
        <f t="shared" si="44"/>
        <v>-88</v>
      </c>
      <c r="B123" s="55">
        <f t="shared" si="31"/>
        <v>17.333333333333329</v>
      </c>
      <c r="C123" s="55" t="e">
        <f t="shared" si="39"/>
        <v>#VALUE!</v>
      </c>
      <c r="D123" s="55" t="e">
        <f>C123-$F$18*$N$10</f>
        <v>#VALUE!</v>
      </c>
      <c r="E123" s="74" t="e">
        <f t="shared" si="45"/>
        <v>#VALUE!</v>
      </c>
      <c r="F123" s="60">
        <f t="shared" si="46"/>
        <v>0.5</v>
      </c>
      <c r="G123" s="66">
        <v>99.25</v>
      </c>
      <c r="H123" s="56" t="e">
        <f t="shared" si="33"/>
        <v>#VALUE!</v>
      </c>
      <c r="I123" s="55" t="e">
        <f t="shared" si="47"/>
        <v>#VALUE!</v>
      </c>
      <c r="J123" s="75">
        <f t="shared" si="48"/>
        <v>0.6</v>
      </c>
      <c r="K123" s="64">
        <f t="shared" si="49"/>
        <v>294.20999999999998</v>
      </c>
      <c r="L123" s="64">
        <f t="shared" si="50"/>
        <v>197.14</v>
      </c>
      <c r="M123" s="56" t="e">
        <f t="shared" si="51"/>
        <v>#VALUE!</v>
      </c>
      <c r="N123" s="56" t="e">
        <f t="shared" si="52"/>
        <v>#VALUE!</v>
      </c>
      <c r="O123" s="69" t="e">
        <f>N123+$F$16-$F$20/(2.5*3)</f>
        <v>#VALUE!</v>
      </c>
      <c r="P123" s="45" t="e">
        <f t="shared" si="54"/>
        <v>#VALUE!</v>
      </c>
      <c r="Q123" s="45" t="e">
        <f t="shared" si="55"/>
        <v>#VALUE!</v>
      </c>
      <c r="R123" s="45" t="e">
        <f>IF(AND(Q123&lt;N123,P123&lt;(L123-D123)),"okay",IF(OR(Q123&lt;N123,P123&lt;(L123-D123)),"tlw.okay","nicht okay"))</f>
        <v>#VALUE!</v>
      </c>
      <c r="S123" s="52">
        <v>97.07</v>
      </c>
      <c r="T123" s="56" t="e">
        <f>IF(N123/M123&lt;0.6,1,-136.47*(N123/M123)^4+389.18*(N123/M123)^3-415.96*(N123/M123)^2+197.22*(N123/M123)-33.964)</f>
        <v>#VALUE!</v>
      </c>
      <c r="U123" s="56" t="e">
        <f t="shared" si="41"/>
        <v>#VALUE!</v>
      </c>
      <c r="V123" s="56" t="e">
        <f t="shared" si="34"/>
        <v>#VALUE!</v>
      </c>
      <c r="W123" s="71" t="e">
        <f>M123^(3/2)*SQRT(2*9.81)*$F$15*T123*J123*2/3+V123</f>
        <v>#VALUE!</v>
      </c>
      <c r="X123" s="56">
        <f t="shared" si="35"/>
        <v>43.640730974629655</v>
      </c>
      <c r="Y123" s="66">
        <v>1.5</v>
      </c>
      <c r="Z123" s="66">
        <v>0.5</v>
      </c>
      <c r="AA123" s="66">
        <v>0.5</v>
      </c>
      <c r="AB123" s="56" t="e">
        <f t="shared" si="42"/>
        <v>#VALUE!</v>
      </c>
      <c r="AC123" s="73" t="e">
        <f t="shared" si="36"/>
        <v>#VALUE!</v>
      </c>
      <c r="AD123" s="56" t="e">
        <f t="shared" si="56"/>
        <v>#VALUE!</v>
      </c>
      <c r="AE123" s="48" t="e">
        <f t="shared" si="37"/>
        <v>#VALUE!</v>
      </c>
      <c r="AF123" s="72">
        <f t="shared" si="57"/>
        <v>5.1111111111111107</v>
      </c>
      <c r="AG123" s="72" t="e">
        <f t="shared" si="38"/>
        <v>#VALUE!</v>
      </c>
    </row>
    <row r="124" spans="1:34" x14ac:dyDescent="0.35">
      <c r="A124" s="63">
        <f t="shared" si="44"/>
        <v>-89</v>
      </c>
      <c r="B124" s="55">
        <f t="shared" si="31"/>
        <v>11.822222222222221</v>
      </c>
      <c r="C124" s="55" t="e">
        <f t="shared" si="39"/>
        <v>#VALUE!</v>
      </c>
      <c r="D124" s="55" t="e">
        <f>C124-$F$18*$N$10</f>
        <v>#VALUE!</v>
      </c>
      <c r="E124" s="74" t="e">
        <f t="shared" si="45"/>
        <v>#VALUE!</v>
      </c>
      <c r="F124" s="60">
        <f t="shared" si="46"/>
        <v>0.5</v>
      </c>
      <c r="G124" s="66">
        <v>100.25</v>
      </c>
      <c r="H124" s="56" t="e">
        <f t="shared" si="33"/>
        <v>#VALUE!</v>
      </c>
      <c r="I124" s="55" t="e">
        <f t="shared" si="47"/>
        <v>#VALUE!</v>
      </c>
      <c r="J124" s="75">
        <f t="shared" si="48"/>
        <v>0.6</v>
      </c>
      <c r="K124" s="64">
        <f t="shared" si="49"/>
        <v>197.14</v>
      </c>
      <c r="L124" s="64">
        <f t="shared" si="50"/>
        <v>99.07</v>
      </c>
      <c r="M124" s="56" t="e">
        <f t="shared" si="51"/>
        <v>#VALUE!</v>
      </c>
      <c r="N124" s="56" t="e">
        <f t="shared" si="52"/>
        <v>#VALUE!</v>
      </c>
      <c r="O124" s="56"/>
      <c r="P124" s="45" t="e">
        <f t="shared" si="54"/>
        <v>#VALUE!</v>
      </c>
      <c r="Q124" s="45" t="e">
        <f t="shared" si="55"/>
        <v>#VALUE!</v>
      </c>
      <c r="R124" s="45" t="e">
        <f>IF(NOT(N124&lt;P124),"okay","nicht okay")</f>
        <v>#VALUE!</v>
      </c>
      <c r="S124" s="52">
        <v>98.07</v>
      </c>
      <c r="T124" s="56" t="e">
        <f>IF(N124/M124&lt;0.6,1,-136.47*(N124/M124)^4+389.18*(N124/M124)^3-415.96*(N124/M124)^2+197.22*(N124/M124)-33.964)</f>
        <v>#VALUE!</v>
      </c>
      <c r="U124" s="56" t="e">
        <f t="shared" si="41"/>
        <v>#VALUE!</v>
      </c>
      <c r="V124" s="56" t="e">
        <f t="shared" si="34"/>
        <v>#VALUE!</v>
      </c>
      <c r="W124" s="71" t="e">
        <f>M124^(3/2)*SQRT(2*9.81)*$F$15*T124*J124*2/3+V124</f>
        <v>#VALUE!</v>
      </c>
      <c r="X124" s="56">
        <f t="shared" si="35"/>
        <v>43.864945001675309</v>
      </c>
      <c r="Y124" s="66">
        <v>1.5</v>
      </c>
      <c r="Z124" s="66">
        <v>0.5</v>
      </c>
      <c r="AA124" s="66">
        <v>0.5</v>
      </c>
      <c r="AB124" s="66"/>
      <c r="AC124" s="73" t="e">
        <f t="shared" si="36"/>
        <v>#VALUE!</v>
      </c>
      <c r="AD124" s="56" t="e">
        <f t="shared" si="56"/>
        <v>#VALUE!</v>
      </c>
      <c r="AE124" s="48" t="e">
        <f t="shared" si="37"/>
        <v>#VALUE!</v>
      </c>
      <c r="AF124" s="72">
        <f t="shared" si="57"/>
        <v>5.1111111111111107</v>
      </c>
      <c r="AG124" s="72" t="e">
        <f t="shared" si="38"/>
        <v>#VALUE!</v>
      </c>
    </row>
    <row r="125" spans="1:34" x14ac:dyDescent="0.35">
      <c r="A125" s="63">
        <f t="shared" si="44"/>
        <v>-90</v>
      </c>
      <c r="B125" s="55">
        <f t="shared" si="31"/>
        <v>6.3111111111111109</v>
      </c>
      <c r="C125" s="55" t="e">
        <f t="shared" si="39"/>
        <v>#VALUE!</v>
      </c>
      <c r="D125" s="55" t="e">
        <f>C125-$F$18*$N$10</f>
        <v>#VALUE!</v>
      </c>
      <c r="E125" s="74" t="e">
        <f t="shared" si="45"/>
        <v>#VALUE!</v>
      </c>
      <c r="F125" s="60">
        <f t="shared" si="46"/>
        <v>0.5</v>
      </c>
      <c r="G125" s="66">
        <v>101.25</v>
      </c>
      <c r="H125" s="56" t="e">
        <f t="shared" si="33"/>
        <v>#VALUE!</v>
      </c>
      <c r="I125" s="55" t="e">
        <f t="shared" si="47"/>
        <v>#VALUE!</v>
      </c>
      <c r="J125" s="75">
        <f t="shared" si="48"/>
        <v>0.6</v>
      </c>
      <c r="K125" s="64">
        <f t="shared" si="49"/>
        <v>99.07</v>
      </c>
      <c r="L125" s="64">
        <f t="shared" si="50"/>
        <v>0</v>
      </c>
      <c r="M125" s="56" t="e">
        <f t="shared" si="51"/>
        <v>#VALUE!</v>
      </c>
      <c r="N125" s="56" t="e">
        <f t="shared" si="52"/>
        <v>#VALUE!</v>
      </c>
      <c r="O125" s="56"/>
      <c r="P125" s="45" t="e">
        <f t="shared" si="54"/>
        <v>#VALUE!</v>
      </c>
      <c r="Q125" s="45" t="e">
        <f t="shared" si="55"/>
        <v>#VALUE!</v>
      </c>
      <c r="R125" s="45" t="e">
        <f>IF(NOT(N125&lt;P125),"okay","nicht okay")</f>
        <v>#VALUE!</v>
      </c>
      <c r="S125" s="52">
        <v>99.07</v>
      </c>
      <c r="T125" s="56" t="e">
        <f>IF(N125/M125&lt;0.6,1,-136.47*(N125/M125)^4+389.18*(N125/M125)^3-415.96*(N125/M125)^2+197.22*(N125/M125)-33.964)</f>
        <v>#VALUE!</v>
      </c>
      <c r="U125" s="56"/>
      <c r="V125" s="56" t="e">
        <f t="shared" si="34"/>
        <v>#VALUE!</v>
      </c>
      <c r="W125" s="71" t="e">
        <f>M125^(3/2)*SQRT(2*9.81)*$F$15*T125*J125*2/3+V125</f>
        <v>#VALUE!</v>
      </c>
      <c r="X125" s="56">
        <f t="shared" si="35"/>
        <v>44.088018780616579</v>
      </c>
      <c r="Y125" s="66">
        <v>1.5</v>
      </c>
      <c r="Z125" s="66">
        <v>0.5</v>
      </c>
      <c r="AA125" s="66">
        <v>0.5</v>
      </c>
      <c r="AB125" s="66"/>
      <c r="AC125" s="73" t="e">
        <f t="shared" si="36"/>
        <v>#VALUE!</v>
      </c>
      <c r="AD125" s="56" t="e">
        <f t="shared" si="56"/>
        <v>#VALUE!</v>
      </c>
      <c r="AE125" s="48" t="e">
        <f t="shared" si="37"/>
        <v>#VALUE!</v>
      </c>
      <c r="AF125" s="72">
        <f t="shared" si="57"/>
        <v>5.1111111111111107</v>
      </c>
      <c r="AG125" s="72" t="e">
        <f t="shared" si="38"/>
        <v>#VALUE!</v>
      </c>
    </row>
    <row r="126" spans="1:34" x14ac:dyDescent="0.35">
      <c r="B126" s="55">
        <f t="shared" si="31"/>
        <v>0.8</v>
      </c>
      <c r="Q126" s="45">
        <f t="shared" si="55"/>
        <v>0</v>
      </c>
    </row>
    <row r="127" spans="1:34" x14ac:dyDescent="0.35">
      <c r="B127" s="55">
        <f t="shared" si="31"/>
        <v>0.4</v>
      </c>
    </row>
  </sheetData>
  <mergeCells count="3">
    <mergeCell ref="D5:I5"/>
    <mergeCell ref="A23:X23"/>
    <mergeCell ref="Y23:AH23"/>
  </mergeCells>
  <conditionalFormatting sqref="AE26:AE125 Z26:AB31 C25:O25 S25:AI25 A25 B25:B127 G37 G39 G41 G43 G26:G35 O26:O123 AB26:AB123 AI26:AI33 T26:U125 AH25:AH121 W25:W122">
    <cfRule type="expression" dxfId="50" priority="39" stopIfTrue="1">
      <formula>$A25&lt;1</formula>
    </cfRule>
  </conditionalFormatting>
  <conditionalFormatting sqref="C26:F125 AC26:AD125 G26 AF26:AI125 G44:G125 A26:A125 Z32:AB125 G28 G30 G32 G34 G36 G38 G40 G42 S26:S125 H26:O125 AB25:AB123 AH25:AH121 W25:W27 V26:Y125">
    <cfRule type="expression" dxfId="49" priority="38" stopIfTrue="1">
      <formula>$A25&lt;1</formula>
    </cfRule>
  </conditionalFormatting>
  <conditionalFormatting sqref="P25:R125 Q27:Q126">
    <cfRule type="expression" dxfId="48" priority="37" stopIfTrue="1">
      <formula>$A25&lt;1</formula>
    </cfRule>
  </conditionalFormatting>
  <conditionalFormatting sqref="O24">
    <cfRule type="expression" dxfId="47" priority="36" stopIfTrue="1">
      <formula>$A24&lt;1</formula>
    </cfRule>
  </conditionalFormatting>
  <conditionalFormatting sqref="O24">
    <cfRule type="expression" dxfId="46" priority="35" stopIfTrue="1">
      <formula>$A24&lt;1</formula>
    </cfRule>
  </conditionalFormatting>
  <conditionalFormatting sqref="O24">
    <cfRule type="expression" dxfId="45" priority="34" stopIfTrue="1">
      <formula>$A24&lt;1</formula>
    </cfRule>
  </conditionalFormatting>
  <conditionalFormatting sqref="O24">
    <cfRule type="expression" dxfId="44" priority="33" stopIfTrue="1">
      <formula>$A24&lt;1</formula>
    </cfRule>
  </conditionalFormatting>
  <conditionalFormatting sqref="O24">
    <cfRule type="expression" dxfId="43" priority="32" stopIfTrue="1">
      <formula>$A24&lt;1</formula>
    </cfRule>
  </conditionalFormatting>
  <conditionalFormatting sqref="O24">
    <cfRule type="expression" dxfId="42" priority="31" stopIfTrue="1">
      <formula>$A24&lt;1</formula>
    </cfRule>
  </conditionalFormatting>
  <conditionalFormatting sqref="O24">
    <cfRule type="expression" dxfId="41" priority="30" stopIfTrue="1">
      <formula>$A24&lt;1</formula>
    </cfRule>
  </conditionalFormatting>
  <conditionalFormatting sqref="O24">
    <cfRule type="expression" dxfId="40" priority="29" stopIfTrue="1">
      <formula>$A24&lt;1</formula>
    </cfRule>
  </conditionalFormatting>
  <conditionalFormatting sqref="O24">
    <cfRule type="expression" dxfId="39" priority="28" stopIfTrue="1">
      <formula>$A24&lt;1</formula>
    </cfRule>
  </conditionalFormatting>
  <conditionalFormatting sqref="O24">
    <cfRule type="expression" dxfId="38" priority="27" stopIfTrue="1">
      <formula>$A24&lt;1</formula>
    </cfRule>
  </conditionalFormatting>
  <conditionalFormatting sqref="O24">
    <cfRule type="expression" dxfId="37" priority="26" stopIfTrue="1">
      <formula>$A24&lt;1</formula>
    </cfRule>
  </conditionalFormatting>
  <conditionalFormatting sqref="O24">
    <cfRule type="expression" dxfId="36" priority="25" stopIfTrue="1">
      <formula>$A24&lt;1</formula>
    </cfRule>
  </conditionalFormatting>
  <conditionalFormatting sqref="O24">
    <cfRule type="expression" dxfId="35" priority="24" stopIfTrue="1">
      <formula>$A24&lt;1</formula>
    </cfRule>
  </conditionalFormatting>
  <conditionalFormatting sqref="O24">
    <cfRule type="expression" dxfId="34" priority="23" stopIfTrue="1">
      <formula>$A24&lt;1</formula>
    </cfRule>
  </conditionalFormatting>
  <conditionalFormatting sqref="O24">
    <cfRule type="expression" dxfId="33" priority="22" stopIfTrue="1">
      <formula>$A24&lt;1</formula>
    </cfRule>
  </conditionalFormatting>
  <conditionalFormatting sqref="O24">
    <cfRule type="expression" dxfId="32" priority="21" stopIfTrue="1">
      <formula>$A24&lt;1</formula>
    </cfRule>
  </conditionalFormatting>
  <conditionalFormatting sqref="O24">
    <cfRule type="expression" dxfId="31" priority="20" stopIfTrue="1">
      <formula>$A24&lt;1</formula>
    </cfRule>
  </conditionalFormatting>
  <conditionalFormatting sqref="O24">
    <cfRule type="expression" dxfId="30" priority="19" stopIfTrue="1">
      <formula>$A24&lt;1</formula>
    </cfRule>
  </conditionalFormatting>
  <conditionalFormatting sqref="O24">
    <cfRule type="expression" dxfId="29" priority="18" stopIfTrue="1">
      <formula>$A24&lt;1</formula>
    </cfRule>
  </conditionalFormatting>
  <conditionalFormatting sqref="O24">
    <cfRule type="expression" dxfId="28" priority="17" stopIfTrue="1">
      <formula>$A24&lt;1</formula>
    </cfRule>
  </conditionalFormatting>
  <conditionalFormatting sqref="O24">
    <cfRule type="expression" dxfId="27" priority="16" stopIfTrue="1">
      <formula>$A24&lt;1</formula>
    </cfRule>
  </conditionalFormatting>
  <conditionalFormatting sqref="O24">
    <cfRule type="expression" dxfId="26" priority="15" stopIfTrue="1">
      <formula>$A24&lt;1</formula>
    </cfRule>
  </conditionalFormatting>
  <conditionalFormatting sqref="O24">
    <cfRule type="expression" dxfId="25" priority="14" stopIfTrue="1">
      <formula>$A24&lt;1</formula>
    </cfRule>
  </conditionalFormatting>
  <conditionalFormatting sqref="O24">
    <cfRule type="expression" dxfId="24" priority="13" stopIfTrue="1">
      <formula>$A24&lt;1</formula>
    </cfRule>
  </conditionalFormatting>
  <conditionalFormatting sqref="O24">
    <cfRule type="expression" dxfId="23" priority="12" stopIfTrue="1">
      <formula>$A24&lt;1</formula>
    </cfRule>
  </conditionalFormatting>
  <conditionalFormatting sqref="O24">
    <cfRule type="expression" dxfId="22" priority="11" stopIfTrue="1">
      <formula>$A24&lt;1</formula>
    </cfRule>
  </conditionalFormatting>
  <conditionalFormatting sqref="O24">
    <cfRule type="expression" dxfId="21" priority="10" stopIfTrue="1">
      <formula>$A24&lt;1</formula>
    </cfRule>
  </conditionalFormatting>
  <conditionalFormatting sqref="O24">
    <cfRule type="expression" dxfId="20" priority="9" stopIfTrue="1">
      <formula>$A24&lt;1</formula>
    </cfRule>
  </conditionalFormatting>
  <conditionalFormatting sqref="O24">
    <cfRule type="expression" dxfId="19" priority="8" stopIfTrue="1">
      <formula>$A24&lt;1</formula>
    </cfRule>
  </conditionalFormatting>
  <conditionalFormatting sqref="O24">
    <cfRule type="expression" dxfId="18" priority="7" stopIfTrue="1">
      <formula>$A24&lt;1</formula>
    </cfRule>
  </conditionalFormatting>
  <conditionalFormatting sqref="O24">
    <cfRule type="expression" dxfId="17" priority="6" stopIfTrue="1">
      <formula>$A24&lt;1</formula>
    </cfRule>
  </conditionalFormatting>
  <conditionalFormatting sqref="O24">
    <cfRule type="expression" dxfId="16" priority="5" stopIfTrue="1">
      <formula>$A24&lt;1</formula>
    </cfRule>
  </conditionalFormatting>
  <conditionalFormatting sqref="O24">
    <cfRule type="expression" dxfId="15" priority="4" stopIfTrue="1">
      <formula>$A24&lt;1</formula>
    </cfRule>
  </conditionalFormatting>
  <conditionalFormatting sqref="O24">
    <cfRule type="expression" dxfId="14" priority="3" stopIfTrue="1">
      <formula>$A24&lt;1</formula>
    </cfRule>
  </conditionalFormatting>
  <conditionalFormatting sqref="O24">
    <cfRule type="expression" dxfId="13" priority="2" stopIfTrue="1">
      <formula>$A24&lt;1</formula>
    </cfRule>
  </conditionalFormatting>
  <conditionalFormatting sqref="O24">
    <cfRule type="expression" dxfId="12" priority="1" stopIfTrue="1">
      <formula>$A24&lt;1</formula>
    </cfRule>
  </conditionalFormatting>
  <pageMargins left="0.70866141732283472" right="0.70866141732283472" top="0.78740157480314965" bottom="0.78740157480314965" header="0.31496062992125984" footer="0.31496062992125984"/>
  <pageSetup paperSize="9" scale="6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0"/>
  <sheetViews>
    <sheetView zoomScale="90" zoomScaleNormal="90" workbookViewId="0">
      <selection activeCell="V9" sqref="V9"/>
    </sheetView>
  </sheetViews>
  <sheetFormatPr baseColWidth="10" defaultRowHeight="14.5" x14ac:dyDescent="0.35"/>
  <cols>
    <col min="1" max="1" width="8.7265625" customWidth="1"/>
    <col min="2" max="2" width="7.54296875" customWidth="1"/>
    <col min="3" max="3" width="9.81640625" customWidth="1"/>
    <col min="4" max="4" width="10.26953125" customWidth="1"/>
    <col min="5" max="5" width="9.54296875" customWidth="1"/>
    <col min="6" max="6" width="10.7265625" customWidth="1"/>
    <col min="7" max="7" width="11.54296875" customWidth="1"/>
    <col min="8" max="8" width="6.453125" customWidth="1"/>
    <col min="9" max="9" width="6.7265625" customWidth="1"/>
    <col min="10" max="10" width="7.81640625" customWidth="1"/>
    <col min="11" max="11" width="5.7265625" customWidth="1"/>
    <col min="12" max="12" width="6.81640625" customWidth="1"/>
    <col min="13" max="13" width="7" customWidth="1"/>
    <col min="14" max="14" width="9.7265625" customWidth="1"/>
    <col min="15" max="15" width="5.54296875" customWidth="1"/>
    <col min="16" max="16" width="7.81640625" customWidth="1"/>
    <col min="17" max="17" width="7.54296875" customWidth="1"/>
    <col min="18" max="18" width="7.81640625" customWidth="1"/>
    <col min="19" max="19" width="6.7265625" customWidth="1"/>
    <col min="20" max="20" width="6.26953125" customWidth="1"/>
    <col min="21" max="21" width="7.81640625" customWidth="1"/>
  </cols>
  <sheetData>
    <row r="1" spans="1:21" x14ac:dyDescent="0.35">
      <c r="A1" s="4" t="s">
        <v>317</v>
      </c>
      <c r="B1" s="4"/>
      <c r="H1" s="7"/>
      <c r="O1" s="6" t="s">
        <v>5</v>
      </c>
    </row>
    <row r="2" spans="1:21" x14ac:dyDescent="0.35">
      <c r="A2" s="4"/>
      <c r="B2" s="4"/>
      <c r="H2" s="7"/>
      <c r="O2" t="s">
        <v>380</v>
      </c>
      <c r="U2" s="149" t="s">
        <v>381</v>
      </c>
    </row>
    <row r="3" spans="1:21" x14ac:dyDescent="0.35">
      <c r="A3" s="4"/>
      <c r="B3" s="4"/>
      <c r="C3" s="7" t="s">
        <v>6</v>
      </c>
      <c r="D3" s="79"/>
      <c r="E3" s="80"/>
      <c r="F3" s="80"/>
      <c r="G3" s="80"/>
      <c r="H3" s="80"/>
      <c r="I3" s="80"/>
      <c r="J3" s="80"/>
      <c r="K3" s="80"/>
      <c r="L3" s="80"/>
      <c r="M3" s="81"/>
    </row>
    <row r="4" spans="1:21" x14ac:dyDescent="0.35">
      <c r="C4" s="7" t="s">
        <v>7</v>
      </c>
      <c r="D4" s="57"/>
      <c r="E4" s="58"/>
      <c r="F4" s="58"/>
      <c r="G4" s="58"/>
      <c r="H4" s="58"/>
      <c r="I4" s="58"/>
      <c r="J4" s="58"/>
      <c r="K4" s="58"/>
      <c r="L4" s="58"/>
      <c r="M4" s="59"/>
    </row>
    <row r="5" spans="1:21" x14ac:dyDescent="0.35">
      <c r="A5" s="4"/>
      <c r="B5" s="4"/>
      <c r="C5" s="11" t="s">
        <v>8</v>
      </c>
      <c r="D5" s="8"/>
      <c r="E5" s="9"/>
      <c r="F5" s="9"/>
      <c r="G5" s="9"/>
      <c r="H5" s="10"/>
    </row>
    <row r="6" spans="1:21" x14ac:dyDescent="0.35">
      <c r="A6" s="4"/>
      <c r="B6" s="4"/>
    </row>
    <row r="7" spans="1:21" x14ac:dyDescent="0.35">
      <c r="E7" s="4" t="s">
        <v>9</v>
      </c>
    </row>
    <row r="8" spans="1:21" x14ac:dyDescent="0.35">
      <c r="E8" s="12" t="s">
        <v>85</v>
      </c>
      <c r="F8" s="16">
        <v>50.5</v>
      </c>
      <c r="J8" s="12" t="s">
        <v>13</v>
      </c>
      <c r="K8" s="13">
        <f>(F12-F13)</f>
        <v>1.7999999999999972</v>
      </c>
    </row>
    <row r="9" spans="1:21" x14ac:dyDescent="0.35">
      <c r="E9" s="12" t="s">
        <v>86</v>
      </c>
      <c r="F9" s="16">
        <v>15</v>
      </c>
      <c r="J9" s="12" t="s">
        <v>17</v>
      </c>
      <c r="K9" s="70">
        <f>K8/F9</f>
        <v>0.11999999999999982</v>
      </c>
    </row>
    <row r="10" spans="1:21" x14ac:dyDescent="0.35">
      <c r="E10" s="12" t="s">
        <v>18</v>
      </c>
      <c r="F10" s="16">
        <f>F12-1.32</f>
        <v>98.68</v>
      </c>
      <c r="J10" s="12" t="s">
        <v>87</v>
      </c>
      <c r="K10" s="70">
        <f>(F10-F11)/F8</f>
        <v>3.336633663366341E-2</v>
      </c>
      <c r="L10" s="19" t="s">
        <v>20</v>
      </c>
      <c r="M10" s="20">
        <f>1/K10</f>
        <v>29.97032640949551</v>
      </c>
    </row>
    <row r="11" spans="1:21" x14ac:dyDescent="0.35">
      <c r="E11" s="12" t="s">
        <v>23</v>
      </c>
      <c r="F11" s="16">
        <f>F10-1.685</f>
        <v>96.995000000000005</v>
      </c>
      <c r="L11" s="62" t="s">
        <v>88</v>
      </c>
      <c r="M11" s="23">
        <f>K10*100</f>
        <v>3.3366336633663409</v>
      </c>
    </row>
    <row r="12" spans="1:21" x14ac:dyDescent="0.35">
      <c r="E12" s="12" t="s">
        <v>24</v>
      </c>
      <c r="F12" s="16">
        <v>100</v>
      </c>
      <c r="U12" s="15"/>
    </row>
    <row r="13" spans="1:21" x14ac:dyDescent="0.35">
      <c r="E13" s="12" t="s">
        <v>25</v>
      </c>
      <c r="F13" s="16">
        <f>F12-1.8</f>
        <v>98.2</v>
      </c>
      <c r="J13" s="11" t="s">
        <v>27</v>
      </c>
      <c r="K13" s="23">
        <f>SUMIF(A21:A118,"=1",Q21:Q118)</f>
        <v>1.5328231908435508</v>
      </c>
      <c r="T13" t="s">
        <v>182</v>
      </c>
      <c r="U13" t="s">
        <v>183</v>
      </c>
    </row>
    <row r="14" spans="1:21" ht="15.5" x14ac:dyDescent="0.35">
      <c r="E14" s="12" t="s">
        <v>89</v>
      </c>
      <c r="F14" s="16">
        <v>3</v>
      </c>
      <c r="S14" s="12" t="s">
        <v>324</v>
      </c>
      <c r="T14" s="147">
        <f>8.35*F15</f>
        <v>3.7574999999999998</v>
      </c>
      <c r="U14" s="147">
        <f>8.1*F15</f>
        <v>3.645</v>
      </c>
    </row>
    <row r="15" spans="1:21" x14ac:dyDescent="0.35">
      <c r="E15" s="12" t="s">
        <v>173</v>
      </c>
      <c r="F15" s="16">
        <v>0.45</v>
      </c>
      <c r="K15" s="82"/>
      <c r="L15" s="82"/>
      <c r="S15" s="12" t="s">
        <v>325</v>
      </c>
      <c r="T15" s="147">
        <f>0.75*T14</f>
        <v>2.8181249999999998</v>
      </c>
      <c r="U15" s="147">
        <f>0.75*U14</f>
        <v>2.7337500000000001</v>
      </c>
    </row>
    <row r="16" spans="1:21" x14ac:dyDescent="0.35">
      <c r="E16" s="12" t="s">
        <v>90</v>
      </c>
      <c r="F16" s="16">
        <v>0.1</v>
      </c>
      <c r="K16" s="102" t="s">
        <v>36</v>
      </c>
      <c r="L16" s="103"/>
      <c r="S16" t="s">
        <v>287</v>
      </c>
    </row>
    <row r="17" spans="1:21" x14ac:dyDescent="0.35">
      <c r="E17" s="12" t="s">
        <v>37</v>
      </c>
      <c r="F17" s="16">
        <v>2.5</v>
      </c>
      <c r="K17" s="83" t="s">
        <v>38</v>
      </c>
      <c r="L17" s="84"/>
      <c r="M17" s="145"/>
    </row>
    <row r="18" spans="1:21" ht="15" thickBot="1" x14ac:dyDescent="0.4"/>
    <row r="19" spans="1:21" ht="16" thickBot="1" x14ac:dyDescent="0.4">
      <c r="A19" s="298" t="s">
        <v>91</v>
      </c>
      <c r="B19" s="299"/>
      <c r="C19" s="299"/>
      <c r="D19" s="299"/>
      <c r="E19" s="299"/>
      <c r="F19" s="299"/>
      <c r="G19" s="299"/>
      <c r="H19" s="299"/>
      <c r="I19" s="299"/>
      <c r="J19" s="299"/>
      <c r="K19" s="299"/>
      <c r="L19" s="299"/>
      <c r="M19" s="299"/>
      <c r="N19" s="299"/>
      <c r="O19" s="299"/>
      <c r="P19" s="299"/>
      <c r="Q19" s="299"/>
      <c r="R19" s="286"/>
      <c r="S19" s="295" t="s">
        <v>175</v>
      </c>
      <c r="T19" s="296"/>
      <c r="U19" s="297"/>
    </row>
    <row r="20" spans="1:21" ht="96.75" customHeight="1" x14ac:dyDescent="0.5">
      <c r="A20" s="85" t="s">
        <v>93</v>
      </c>
      <c r="B20" s="85" t="s">
        <v>44</v>
      </c>
      <c r="C20" s="36" t="s">
        <v>94</v>
      </c>
      <c r="D20" s="36" t="s">
        <v>95</v>
      </c>
      <c r="E20" s="36" t="s">
        <v>96</v>
      </c>
      <c r="F20" s="36" t="s">
        <v>24</v>
      </c>
      <c r="G20" s="36" t="s">
        <v>25</v>
      </c>
      <c r="H20" s="36" t="s">
        <v>97</v>
      </c>
      <c r="I20" s="36" t="s">
        <v>98</v>
      </c>
      <c r="J20" s="36" t="s">
        <v>55</v>
      </c>
      <c r="K20" s="37" t="s">
        <v>56</v>
      </c>
      <c r="L20" s="36" t="s">
        <v>99</v>
      </c>
      <c r="M20" s="86" t="s">
        <v>57</v>
      </c>
      <c r="N20" s="36" t="s">
        <v>172</v>
      </c>
      <c r="O20" s="87" t="s">
        <v>170</v>
      </c>
      <c r="P20" s="36" t="s">
        <v>100</v>
      </c>
      <c r="Q20" s="36" t="s">
        <v>101</v>
      </c>
      <c r="R20" s="36" t="s">
        <v>174</v>
      </c>
      <c r="S20" s="36" t="s">
        <v>102</v>
      </c>
      <c r="T20" s="36" t="s">
        <v>103</v>
      </c>
      <c r="U20" s="36" t="s">
        <v>83</v>
      </c>
    </row>
    <row r="21" spans="1:21" ht="15.5" x14ac:dyDescent="0.35">
      <c r="A21" s="88">
        <f>$F$9</f>
        <v>15</v>
      </c>
      <c r="B21" s="89">
        <f t="shared" ref="B21:B84" si="0">IF(A21=1,0,B22+U21+$F$16)</f>
        <v>50.400000000000013</v>
      </c>
      <c r="C21" s="90">
        <f>$F$10</f>
        <v>98.68</v>
      </c>
      <c r="D21" s="90">
        <f t="shared" ref="D21:D52" si="1">C21-$F$16*$K$10</f>
        <v>98.676663366336641</v>
      </c>
      <c r="E21" s="90">
        <f>C21+$F$14</f>
        <v>101.68</v>
      </c>
      <c r="F21" s="90">
        <f>$F$12</f>
        <v>100</v>
      </c>
      <c r="G21" s="64">
        <f>IF($A21=1,$F$13,F22)</f>
        <v>99.879897821014097</v>
      </c>
      <c r="H21" s="91">
        <f>F21-C21</f>
        <v>1.3199999999999932</v>
      </c>
      <c r="I21" s="91">
        <f>G21-C21</f>
        <v>1.1998978210140905</v>
      </c>
      <c r="J21" s="90">
        <f t="shared" ref="J21:J84" si="2">(P21^2/(9.81*$F$15^2))^(1/3)</f>
        <v>0.66301200144660866</v>
      </c>
      <c r="K21" s="65" t="str">
        <f t="shared" ref="K21:K84" si="3">IF(NOT(I21&lt;J21),"okay","nicht okay")</f>
        <v>okay</v>
      </c>
      <c r="L21" s="92" t="str">
        <f t="shared" ref="L21:L84" si="4">IF(F21&gt;E21,"Fehler: Trennwand überströmt"," ")</f>
        <v xml:space="preserve"> </v>
      </c>
      <c r="M21" s="70">
        <f>F21-G21</f>
        <v>0.1201021789859027</v>
      </c>
      <c r="N21" s="98" t="s">
        <v>171</v>
      </c>
      <c r="O21" s="55">
        <f t="shared" ref="O21:O84" si="5">IF((I21/H21)&lt;0.5,"ungültig",IF((I21/H21)&gt;0.99,"ungültig",IF(N21="a",0.59*(1-(I21/H21)^4.5)^0.48,IF(N21="b",0.48*(1-(I21/H21)^4.5)^0.6,IF(N21="c",0.65*(1-(I21/H21)^2.5)^0.55, "falsche Eingabe Spalte N !" )))))</f>
        <v>0.35597638459295772</v>
      </c>
      <c r="P21" s="93">
        <f>H21^(3/2)*SQRT(9.81)*$F$15*O21</f>
        <v>0.76090265974923932</v>
      </c>
      <c r="Q21" s="90">
        <f t="shared" ref="Q21:Q84" si="6">(2*9.81*M21)^0.5</f>
        <v>1.5350585499268135</v>
      </c>
      <c r="R21" s="69" t="str">
        <f t="shared" ref="R21:R84" si="7">IF(OR((I21/H21)&lt;0.5,(I21/H21)&gt;0.99,I21=2*F$15,I21&lt;2*F$15),"Nein","Ja")</f>
        <v>Ja</v>
      </c>
      <c r="S21" s="94">
        <f t="shared" ref="S21:S84" si="8">IF(A21=1," ",9810*M21*P21/(T21*U21*$F$17))</f>
        <v>81.21017939786617</v>
      </c>
      <c r="T21" s="55">
        <f>IF(A21=1," ",((G21-D21)+(F22-C22))/2)</f>
        <v>1.2616255437863657</v>
      </c>
      <c r="U21" s="55">
        <f>IF(A21=1," ",($F$8-$F$16)/($F$9-1)-$F$16)</f>
        <v>3.5</v>
      </c>
    </row>
    <row r="22" spans="1:21" ht="15.5" x14ac:dyDescent="0.35">
      <c r="A22" s="95">
        <f>A21-1</f>
        <v>14</v>
      </c>
      <c r="B22" s="89">
        <f t="shared" si="0"/>
        <v>46.800000000000011</v>
      </c>
      <c r="C22" s="55">
        <f t="shared" ref="C22:C53" si="9">C21-((U21+$F$16)*$K$10)</f>
        <v>98.559881188118823</v>
      </c>
      <c r="D22" s="55">
        <f t="shared" si="1"/>
        <v>98.556544554455456</v>
      </c>
      <c r="E22" s="55">
        <f>C22+$F$14</f>
        <v>101.55988118811882</v>
      </c>
      <c r="F22" s="64">
        <f t="shared" ref="F22:F85" si="10">G22+M22</f>
        <v>99.879897821014097</v>
      </c>
      <c r="G22" s="64">
        <f t="shared" ref="G22:G85" si="11">IF($A22=1,$F$13,F23)</f>
        <v>99.759799757931688</v>
      </c>
      <c r="H22" s="96">
        <f>F22-C22</f>
        <v>1.3200166328952747</v>
      </c>
      <c r="I22" s="96">
        <f>G22-C22</f>
        <v>1.1999185698128656</v>
      </c>
      <c r="J22" s="55">
        <f t="shared" si="2"/>
        <v>0.66301200144659944</v>
      </c>
      <c r="K22" s="97" t="str">
        <f t="shared" si="3"/>
        <v>okay</v>
      </c>
      <c r="L22" s="92" t="str">
        <f t="shared" si="4"/>
        <v xml:space="preserve"> </v>
      </c>
      <c r="M22" s="98">
        <v>0.12009806308240378</v>
      </c>
      <c r="N22" s="98" t="s">
        <v>171</v>
      </c>
      <c r="O22" s="55">
        <f t="shared" si="5"/>
        <v>0.35596965638309858</v>
      </c>
      <c r="P22" s="93">
        <f>H22^(3/2)*SQRT(9.81)*$F$15*O22</f>
        <v>0.76090265974922344</v>
      </c>
      <c r="Q22" s="55">
        <f t="shared" si="6"/>
        <v>1.53503224646154</v>
      </c>
      <c r="R22" s="69" t="str">
        <f t="shared" si="7"/>
        <v>Ja</v>
      </c>
      <c r="S22" s="94">
        <f t="shared" si="8"/>
        <v>81.206060802142758</v>
      </c>
      <c r="T22" s="55">
        <f>IF(A22=1," ",((G22-D22)+(F23-C23))/2)</f>
        <v>1.2616462925851408</v>
      </c>
      <c r="U22" s="55">
        <f>IF(A22=1," ",($F$8-$F$16)/($F$9-1)-$F$16)</f>
        <v>3.5</v>
      </c>
    </row>
    <row r="23" spans="1:21" ht="15.5" x14ac:dyDescent="0.35">
      <c r="A23" s="95">
        <f t="shared" ref="A23:A86" si="12">A22-1</f>
        <v>13</v>
      </c>
      <c r="B23" s="89">
        <f t="shared" si="0"/>
        <v>43.20000000000001</v>
      </c>
      <c r="C23" s="55">
        <f t="shared" si="9"/>
        <v>98.439762376237638</v>
      </c>
      <c r="D23" s="55">
        <f t="shared" si="1"/>
        <v>98.436425742574272</v>
      </c>
      <c r="E23" s="55">
        <f t="shared" ref="E23:E86" si="13">C23+$F$14</f>
        <v>101.43976237623764</v>
      </c>
      <c r="F23" s="64">
        <f t="shared" si="10"/>
        <v>99.759799757931688</v>
      </c>
      <c r="G23" s="64">
        <f t="shared" si="11"/>
        <v>99.639706828915422</v>
      </c>
      <c r="H23" s="96">
        <f t="shared" ref="H23:H86" si="14">F23-C23</f>
        <v>1.3200373816940498</v>
      </c>
      <c r="I23" s="96">
        <f t="shared" ref="I23:I86" si="15">G23-C23</f>
        <v>1.1999444526777836</v>
      </c>
      <c r="J23" s="55">
        <f t="shared" si="2"/>
        <v>0.66301200144655204</v>
      </c>
      <c r="K23" s="97" t="str">
        <f t="shared" si="3"/>
        <v>okay</v>
      </c>
      <c r="L23" s="92" t="str">
        <f t="shared" si="4"/>
        <v xml:space="preserve"> </v>
      </c>
      <c r="M23" s="98">
        <v>0.12009292901626044</v>
      </c>
      <c r="N23" s="98" t="s">
        <v>171</v>
      </c>
      <c r="O23" s="55">
        <f t="shared" si="5"/>
        <v>0.35596126353693835</v>
      </c>
      <c r="P23" s="93">
        <f t="shared" ref="P23:P86" si="16">H23^(3/2)*SQRT(9.81)*$F$15*O23</f>
        <v>0.76090265974914173</v>
      </c>
      <c r="Q23" s="55">
        <f t="shared" si="6"/>
        <v>1.5349994356021861</v>
      </c>
      <c r="R23" s="69" t="str">
        <f t="shared" si="7"/>
        <v>Ja</v>
      </c>
      <c r="S23" s="94">
        <f t="shared" si="8"/>
        <v>81.200923479014961</v>
      </c>
      <c r="T23" s="55">
        <f t="shared" ref="T23:T86" si="17">IF(A23=1," ",((G23-D23)+(F24-C24))/2)</f>
        <v>1.2616721754500588</v>
      </c>
      <c r="U23" s="55">
        <f t="shared" ref="U23:U86" si="18">IF(A23=1," ",($F$8-$F$16)/($F$9-1)-$F$16)</f>
        <v>3.5</v>
      </c>
    </row>
    <row r="24" spans="1:21" ht="15.5" x14ac:dyDescent="0.35">
      <c r="A24" s="95">
        <f t="shared" si="12"/>
        <v>12</v>
      </c>
      <c r="B24" s="89">
        <f t="shared" si="0"/>
        <v>39.600000000000009</v>
      </c>
      <c r="C24" s="55">
        <f t="shared" si="9"/>
        <v>98.319643564356454</v>
      </c>
      <c r="D24" s="55">
        <f t="shared" si="1"/>
        <v>98.316306930693088</v>
      </c>
      <c r="E24" s="55">
        <f t="shared" si="13"/>
        <v>101.31964356435645</v>
      </c>
      <c r="F24" s="64">
        <f t="shared" si="10"/>
        <v>99.639706828915422</v>
      </c>
      <c r="G24" s="64">
        <f t="shared" si="11"/>
        <v>99.51962030380426</v>
      </c>
      <c r="H24" s="96">
        <f t="shared" si="14"/>
        <v>1.3200632645589678</v>
      </c>
      <c r="I24" s="96">
        <f t="shared" si="15"/>
        <v>1.1999767394478056</v>
      </c>
      <c r="J24" s="55">
        <f t="shared" si="2"/>
        <v>0.66301200144637162</v>
      </c>
      <c r="K24" s="97" t="str">
        <f t="shared" si="3"/>
        <v>okay</v>
      </c>
      <c r="L24" s="92" t="str">
        <f t="shared" si="4"/>
        <v xml:space="preserve"> </v>
      </c>
      <c r="M24" s="98">
        <v>0.12008652511115715</v>
      </c>
      <c r="N24" s="98" t="s">
        <v>171</v>
      </c>
      <c r="O24" s="55">
        <f>IF((I24/H24)&lt;0.5,"ungültig",IF((I24/H24)&gt;0.99,"ungültig",IF(N24="a",0.59*(1-(I24/H24)^4.5)^0.48,IF(N24="b",0.48*(1-(I24/H24)^4.5)^0.6,IF(N24="c",0.65*(1-(I24/H24)^2.5)^0.55, "falsche Eingabe Spalte N !" )))))</f>
        <v>0.35595079443385064</v>
      </c>
      <c r="P24" s="93">
        <f t="shared" si="16"/>
        <v>0.7609026597488312</v>
      </c>
      <c r="Q24" s="55">
        <f t="shared" si="6"/>
        <v>1.5349585084558159</v>
      </c>
      <c r="R24" s="69" t="str">
        <f t="shared" si="7"/>
        <v>Ja</v>
      </c>
      <c r="S24" s="94">
        <f t="shared" si="8"/>
        <v>81.194515668851679</v>
      </c>
      <c r="T24" s="55">
        <f t="shared" si="17"/>
        <v>1.2617044622200808</v>
      </c>
      <c r="U24" s="55">
        <f t="shared" si="18"/>
        <v>3.5</v>
      </c>
    </row>
    <row r="25" spans="1:21" ht="15.5" x14ac:dyDescent="0.35">
      <c r="A25" s="95">
        <f t="shared" si="12"/>
        <v>11</v>
      </c>
      <c r="B25" s="89">
        <f t="shared" si="0"/>
        <v>36.000000000000007</v>
      </c>
      <c r="C25" s="55">
        <f t="shared" si="9"/>
        <v>98.19952475247527</v>
      </c>
      <c r="D25" s="55">
        <f t="shared" si="1"/>
        <v>98.196188118811904</v>
      </c>
      <c r="E25" s="55">
        <f t="shared" si="13"/>
        <v>101.19952475247527</v>
      </c>
      <c r="F25" s="64">
        <f t="shared" si="10"/>
        <v>99.51962030380426</v>
      </c>
      <c r="G25" s="64">
        <f t="shared" si="11"/>
        <v>99.399541766219002</v>
      </c>
      <c r="H25" s="96">
        <f t="shared" si="14"/>
        <v>1.3200955513289898</v>
      </c>
      <c r="I25" s="96">
        <f t="shared" si="15"/>
        <v>1.2000170137437323</v>
      </c>
      <c r="J25" s="55">
        <f t="shared" si="2"/>
        <v>0.66301200144620542</v>
      </c>
      <c r="K25" s="97" t="str">
        <f t="shared" si="3"/>
        <v>okay</v>
      </c>
      <c r="L25" s="92" t="str">
        <f t="shared" si="4"/>
        <v xml:space="preserve"> </v>
      </c>
      <c r="M25" s="98">
        <v>0.12007853758526082</v>
      </c>
      <c r="N25" s="98" t="s">
        <v>171</v>
      </c>
      <c r="O25" s="55">
        <f t="shared" si="5"/>
        <v>0.35593773579812432</v>
      </c>
      <c r="P25" s="93">
        <f>H25^(3/2)*SQRT(9.81)*$F$15*O25</f>
        <v>0.76090265974854521</v>
      </c>
      <c r="Q25" s="55">
        <f t="shared" si="6"/>
        <v>1.5349074589117149</v>
      </c>
      <c r="R25" s="69" t="str">
        <f t="shared" si="7"/>
        <v>Ja</v>
      </c>
      <c r="S25" s="94">
        <f t="shared" si="8"/>
        <v>81.186523517239408</v>
      </c>
      <c r="T25" s="55">
        <f t="shared" si="17"/>
        <v>1.2617447365160075</v>
      </c>
      <c r="U25" s="55">
        <f t="shared" si="18"/>
        <v>3.5</v>
      </c>
    </row>
    <row r="26" spans="1:21" ht="15.5" x14ac:dyDescent="0.35">
      <c r="A26" s="95">
        <f t="shared" si="12"/>
        <v>10</v>
      </c>
      <c r="B26" s="89">
        <f t="shared" si="0"/>
        <v>32.400000000000006</v>
      </c>
      <c r="C26" s="55">
        <f t="shared" si="9"/>
        <v>98.079405940594086</v>
      </c>
      <c r="D26" s="55">
        <f t="shared" si="1"/>
        <v>98.076069306930719</v>
      </c>
      <c r="E26" s="55">
        <f t="shared" si="13"/>
        <v>101.07940594059409</v>
      </c>
      <c r="F26" s="64">
        <f t="shared" si="10"/>
        <v>99.399541766219002</v>
      </c>
      <c r="G26" s="64">
        <f t="shared" si="11"/>
        <v>99.279473190935235</v>
      </c>
      <c r="H26" s="96">
        <f t="shared" si="14"/>
        <v>1.3201358256249165</v>
      </c>
      <c r="I26" s="96">
        <f t="shared" si="15"/>
        <v>1.2000672503411494</v>
      </c>
      <c r="J26" s="55">
        <f t="shared" si="2"/>
        <v>0.6630120014460007</v>
      </c>
      <c r="K26" s="97" t="str">
        <f t="shared" si="3"/>
        <v>okay</v>
      </c>
      <c r="L26" s="92" t="str">
        <f t="shared" si="4"/>
        <v xml:space="preserve"> </v>
      </c>
      <c r="M26" s="98">
        <v>0.12006857528376957</v>
      </c>
      <c r="N26" s="98" t="s">
        <v>171</v>
      </c>
      <c r="O26" s="55">
        <f t="shared" si="5"/>
        <v>0.35592144766446837</v>
      </c>
      <c r="P26" s="93">
        <f t="shared" si="16"/>
        <v>0.76090265974819282</v>
      </c>
      <c r="Q26" s="55">
        <f t="shared" si="6"/>
        <v>1.5348437858842701</v>
      </c>
      <c r="R26" s="69" t="str">
        <f t="shared" si="7"/>
        <v>Ja</v>
      </c>
      <c r="S26" s="94">
        <f t="shared" si="8"/>
        <v>81.176555827585489</v>
      </c>
      <c r="T26" s="55">
        <f t="shared" si="17"/>
        <v>1.2617949731134246</v>
      </c>
      <c r="U26" s="55">
        <f t="shared" si="18"/>
        <v>3.5</v>
      </c>
    </row>
    <row r="27" spans="1:21" ht="15.5" x14ac:dyDescent="0.35">
      <c r="A27" s="95">
        <f t="shared" si="12"/>
        <v>9</v>
      </c>
      <c r="B27" s="89">
        <f t="shared" si="0"/>
        <v>28.800000000000004</v>
      </c>
      <c r="C27" s="55">
        <f t="shared" si="9"/>
        <v>97.959287128712901</v>
      </c>
      <c r="D27" s="55">
        <f t="shared" si="1"/>
        <v>97.955950495049535</v>
      </c>
      <c r="E27" s="55">
        <f t="shared" si="13"/>
        <v>100.9592871287129</v>
      </c>
      <c r="F27" s="64">
        <f t="shared" si="10"/>
        <v>99.279473190935235</v>
      </c>
      <c r="G27" s="64">
        <f t="shared" si="11"/>
        <v>99.159417040243937</v>
      </c>
      <c r="H27" s="96">
        <f t="shared" si="14"/>
        <v>1.3201860622223336</v>
      </c>
      <c r="I27" s="96">
        <f t="shared" si="15"/>
        <v>1.200129911531036</v>
      </c>
      <c r="J27" s="55">
        <f t="shared" si="2"/>
        <v>0.66301200144556671</v>
      </c>
      <c r="K27" s="97" t="str">
        <f t="shared" si="3"/>
        <v>okay</v>
      </c>
      <c r="L27" s="92" t="str">
        <f t="shared" si="4"/>
        <v xml:space="preserve"> </v>
      </c>
      <c r="M27" s="98">
        <v>0.1200561506912993</v>
      </c>
      <c r="N27" s="98" t="s">
        <v>171</v>
      </c>
      <c r="O27" s="55">
        <f t="shared" si="5"/>
        <v>0.35590113221818559</v>
      </c>
      <c r="P27" s="93">
        <f t="shared" si="16"/>
        <v>0.76090265974744553</v>
      </c>
      <c r="Q27" s="55">
        <f t="shared" si="6"/>
        <v>1.5347643716751092</v>
      </c>
      <c r="R27" s="69" t="str">
        <f t="shared" si="7"/>
        <v>Ja</v>
      </c>
      <c r="S27" s="94">
        <f t="shared" si="8"/>
        <v>81.164125108122093</v>
      </c>
      <c r="T27" s="55">
        <f t="shared" si="17"/>
        <v>1.2618576343033112</v>
      </c>
      <c r="U27" s="55">
        <f t="shared" si="18"/>
        <v>3.5</v>
      </c>
    </row>
    <row r="28" spans="1:21" ht="15.5" x14ac:dyDescent="0.35">
      <c r="A28" s="95">
        <f t="shared" si="12"/>
        <v>8</v>
      </c>
      <c r="B28" s="89">
        <f t="shared" si="0"/>
        <v>25.200000000000003</v>
      </c>
      <c r="C28" s="55">
        <f t="shared" si="9"/>
        <v>97.839168316831717</v>
      </c>
      <c r="D28" s="55">
        <f t="shared" si="1"/>
        <v>97.835831683168351</v>
      </c>
      <c r="E28" s="55">
        <f t="shared" si="13"/>
        <v>100.83916831683172</v>
      </c>
      <c r="F28" s="64">
        <f t="shared" si="10"/>
        <v>99.159417040243937</v>
      </c>
      <c r="G28" s="64">
        <f t="shared" si="11"/>
        <v>99.039376383908632</v>
      </c>
      <c r="H28" s="96">
        <f t="shared" si="14"/>
        <v>1.3202487234122202</v>
      </c>
      <c r="I28" s="96">
        <f t="shared" si="15"/>
        <v>1.2002080670769146</v>
      </c>
      <c r="J28" s="55">
        <f t="shared" si="2"/>
        <v>0.6630120014449371</v>
      </c>
      <c r="K28" s="97" t="str">
        <f t="shared" si="3"/>
        <v>okay</v>
      </c>
      <c r="L28" s="92" t="str">
        <f t="shared" si="4"/>
        <v xml:space="preserve"> </v>
      </c>
      <c r="M28" s="98">
        <v>0.12004065633530688</v>
      </c>
      <c r="N28" s="98" t="s">
        <v>171</v>
      </c>
      <c r="O28" s="55">
        <f t="shared" si="5"/>
        <v>0.35587579503300698</v>
      </c>
      <c r="P28" s="93">
        <f t="shared" si="16"/>
        <v>0.76090265974636173</v>
      </c>
      <c r="Q28" s="55">
        <f t="shared" si="6"/>
        <v>1.534665330715046</v>
      </c>
      <c r="R28" s="69" t="str">
        <f t="shared" si="7"/>
        <v>Ja</v>
      </c>
      <c r="S28" s="94">
        <f t="shared" si="8"/>
        <v>81.148624033476409</v>
      </c>
      <c r="T28" s="55">
        <f t="shared" si="17"/>
        <v>1.2619357898491899</v>
      </c>
      <c r="U28" s="55">
        <f t="shared" si="18"/>
        <v>3.5</v>
      </c>
    </row>
    <row r="29" spans="1:21" ht="15.5" x14ac:dyDescent="0.35">
      <c r="A29" s="95">
        <f t="shared" si="12"/>
        <v>7</v>
      </c>
      <c r="B29" s="89">
        <f t="shared" si="0"/>
        <v>21.6</v>
      </c>
      <c r="C29" s="55">
        <f t="shared" si="9"/>
        <v>97.719049504950533</v>
      </c>
      <c r="D29" s="55">
        <f t="shared" si="1"/>
        <v>97.715712871287167</v>
      </c>
      <c r="E29" s="55">
        <f t="shared" si="13"/>
        <v>100.71904950495053</v>
      </c>
      <c r="F29" s="64">
        <f t="shared" si="10"/>
        <v>99.039376383908632</v>
      </c>
      <c r="G29" s="64">
        <f t="shared" si="11"/>
        <v>98.91935504841922</v>
      </c>
      <c r="H29" s="96">
        <f t="shared" si="14"/>
        <v>1.3203268789580989</v>
      </c>
      <c r="I29" s="96">
        <f t="shared" si="15"/>
        <v>1.2003055434686871</v>
      </c>
      <c r="J29" s="55">
        <f t="shared" si="2"/>
        <v>0.66301200144407735</v>
      </c>
      <c r="K29" s="97" t="str">
        <f t="shared" si="3"/>
        <v>okay</v>
      </c>
      <c r="L29" s="92" t="str">
        <f t="shared" si="4"/>
        <v xml:space="preserve"> </v>
      </c>
      <c r="M29" s="98">
        <v>0.12002133548941178</v>
      </c>
      <c r="N29" s="98" t="s">
        <v>171</v>
      </c>
      <c r="O29" s="55">
        <f t="shared" si="5"/>
        <v>0.3558441968850713</v>
      </c>
      <c r="P29" s="93">
        <f t="shared" si="16"/>
        <v>0.76090265974488169</v>
      </c>
      <c r="Q29" s="55">
        <f t="shared" si="6"/>
        <v>1.5345418216204665</v>
      </c>
      <c r="R29" s="69" t="str">
        <f t="shared" si="7"/>
        <v>Ja</v>
      </c>
      <c r="S29" s="94">
        <f t="shared" si="8"/>
        <v>81.129296243647261</v>
      </c>
      <c r="T29" s="55">
        <f t="shared" si="17"/>
        <v>1.2620332662409623</v>
      </c>
      <c r="U29" s="55">
        <f t="shared" si="18"/>
        <v>3.5</v>
      </c>
    </row>
    <row r="30" spans="1:21" ht="15.5" x14ac:dyDescent="0.35">
      <c r="A30" s="95">
        <f t="shared" si="12"/>
        <v>6</v>
      </c>
      <c r="B30" s="89">
        <f t="shared" si="0"/>
        <v>18</v>
      </c>
      <c r="C30" s="55">
        <f t="shared" si="9"/>
        <v>97.598930693069349</v>
      </c>
      <c r="D30" s="55">
        <f t="shared" si="1"/>
        <v>97.595594059405983</v>
      </c>
      <c r="E30" s="55">
        <f t="shared" si="13"/>
        <v>100.59893069306935</v>
      </c>
      <c r="F30" s="64">
        <f t="shared" si="10"/>
        <v>98.91935504841922</v>
      </c>
      <c r="G30" s="64">
        <f t="shared" si="11"/>
        <v>98.799357802575173</v>
      </c>
      <c r="H30" s="96">
        <f t="shared" si="14"/>
        <v>1.3204243553498713</v>
      </c>
      <c r="I30" s="96">
        <f t="shared" si="15"/>
        <v>1.2004271095058243</v>
      </c>
      <c r="J30" s="55">
        <f t="shared" si="2"/>
        <v>0.66301200144281003</v>
      </c>
      <c r="K30" s="97" t="str">
        <f t="shared" si="3"/>
        <v>okay</v>
      </c>
      <c r="L30" s="92" t="str">
        <f t="shared" si="4"/>
        <v xml:space="preserve"> </v>
      </c>
      <c r="M30" s="98">
        <v>0.11999724584404749</v>
      </c>
      <c r="N30" s="98" t="s">
        <v>171</v>
      </c>
      <c r="O30" s="55">
        <f t="shared" si="5"/>
        <v>0.3558047939057109</v>
      </c>
      <c r="P30" s="93">
        <f t="shared" si="16"/>
        <v>0.7609026597427001</v>
      </c>
      <c r="Q30" s="55">
        <f t="shared" si="6"/>
        <v>1.5343878139050153</v>
      </c>
      <c r="R30" s="69" t="str">
        <f t="shared" si="7"/>
        <v>Ja</v>
      </c>
      <c r="S30" s="94">
        <f t="shared" si="8"/>
        <v>81.105200169820009</v>
      </c>
      <c r="T30" s="55">
        <f t="shared" si="17"/>
        <v>1.2621548322780995</v>
      </c>
      <c r="U30" s="55">
        <f t="shared" si="18"/>
        <v>3.5</v>
      </c>
    </row>
    <row r="31" spans="1:21" ht="15.5" x14ac:dyDescent="0.35">
      <c r="A31" s="95">
        <f t="shared" si="12"/>
        <v>5</v>
      </c>
      <c r="B31" s="89">
        <f t="shared" si="0"/>
        <v>14.399999999999999</v>
      </c>
      <c r="C31" s="55">
        <f t="shared" si="9"/>
        <v>97.478811881188165</v>
      </c>
      <c r="D31" s="55">
        <f t="shared" si="1"/>
        <v>97.475475247524798</v>
      </c>
      <c r="E31" s="55">
        <f t="shared" si="13"/>
        <v>100.47881188118816</v>
      </c>
      <c r="F31" s="64">
        <f t="shared" si="10"/>
        <v>98.799357802575173</v>
      </c>
      <c r="G31" s="64">
        <f t="shared" si="11"/>
        <v>98.679390588050865</v>
      </c>
      <c r="H31" s="96">
        <f t="shared" si="14"/>
        <v>1.3205459213870085</v>
      </c>
      <c r="I31" s="96">
        <f t="shared" si="15"/>
        <v>1.2005787068627001</v>
      </c>
      <c r="J31" s="55">
        <f t="shared" si="2"/>
        <v>0.66301200144115968</v>
      </c>
      <c r="K31" s="97" t="str">
        <f t="shared" si="3"/>
        <v>okay</v>
      </c>
      <c r="L31" s="92" t="str">
        <f t="shared" si="4"/>
        <v xml:space="preserve"> </v>
      </c>
      <c r="M31" s="98">
        <v>0.11996721452431154</v>
      </c>
      <c r="N31" s="98" t="s">
        <v>171</v>
      </c>
      <c r="O31" s="55">
        <f t="shared" si="5"/>
        <v>0.35575566333351483</v>
      </c>
      <c r="P31" s="93">
        <f t="shared" si="16"/>
        <v>0.76090265973985904</v>
      </c>
      <c r="Q31" s="55">
        <f t="shared" si="6"/>
        <v>1.5341957987711323</v>
      </c>
      <c r="R31" s="69" t="str">
        <f t="shared" si="7"/>
        <v>Ja</v>
      </c>
      <c r="S31" s="94">
        <f t="shared" si="8"/>
        <v>81.075164301203827</v>
      </c>
      <c r="T31" s="55">
        <f t="shared" si="17"/>
        <v>1.2623064296349753</v>
      </c>
      <c r="U31" s="55">
        <f t="shared" si="18"/>
        <v>3.5</v>
      </c>
    </row>
    <row r="32" spans="1:21" ht="15.5" x14ac:dyDescent="0.35">
      <c r="A32" s="95">
        <f t="shared" si="12"/>
        <v>4</v>
      </c>
      <c r="B32" s="89">
        <f t="shared" si="0"/>
        <v>10.799999999999999</v>
      </c>
      <c r="C32" s="55">
        <f t="shared" si="9"/>
        <v>97.35869306930698</v>
      </c>
      <c r="D32" s="55">
        <f t="shared" si="1"/>
        <v>97.355356435643614</v>
      </c>
      <c r="E32" s="55">
        <f t="shared" si="13"/>
        <v>100.35869306930698</v>
      </c>
      <c r="F32" s="64">
        <f t="shared" si="10"/>
        <v>98.679390588050865</v>
      </c>
      <c r="G32" s="64">
        <f t="shared" si="11"/>
        <v>98.559460805551907</v>
      </c>
      <c r="H32" s="96">
        <f t="shared" si="14"/>
        <v>1.3206975187438843</v>
      </c>
      <c r="I32" s="96">
        <f t="shared" si="15"/>
        <v>1.2007677362449272</v>
      </c>
      <c r="J32" s="55">
        <f t="shared" si="2"/>
        <v>0.66301200143907257</v>
      </c>
      <c r="K32" s="97" t="str">
        <f t="shared" si="3"/>
        <v>okay</v>
      </c>
      <c r="L32" s="92" t="str">
        <f t="shared" si="4"/>
        <v xml:space="preserve"> </v>
      </c>
      <c r="M32" s="98">
        <v>0.11992978249896315</v>
      </c>
      <c r="N32" s="98" t="s">
        <v>171</v>
      </c>
      <c r="O32" s="55">
        <f t="shared" si="5"/>
        <v>0.35569441152760278</v>
      </c>
      <c r="P32" s="93">
        <f t="shared" si="16"/>
        <v>0.76090265973626614</v>
      </c>
      <c r="Q32" s="55">
        <f t="shared" si="6"/>
        <v>1.5339564311380089</v>
      </c>
      <c r="R32" s="69" t="str">
        <f t="shared" si="7"/>
        <v>Ja</v>
      </c>
      <c r="S32" s="94">
        <f t="shared" si="8"/>
        <v>81.037731990192256</v>
      </c>
      <c r="T32" s="55">
        <f t="shared" si="17"/>
        <v>1.2624954590172024</v>
      </c>
      <c r="U32" s="55">
        <f t="shared" si="18"/>
        <v>3.5</v>
      </c>
    </row>
    <row r="33" spans="1:21" ht="15.5" x14ac:dyDescent="0.35">
      <c r="A33" s="95">
        <f t="shared" si="12"/>
        <v>3</v>
      </c>
      <c r="B33" s="89">
        <f t="shared" si="0"/>
        <v>7.1999999999999993</v>
      </c>
      <c r="C33" s="55">
        <f t="shared" si="9"/>
        <v>97.238574257425796</v>
      </c>
      <c r="D33" s="55">
        <f t="shared" si="1"/>
        <v>97.23523762376243</v>
      </c>
      <c r="E33" s="55">
        <f t="shared" si="13"/>
        <v>100.2385742574258</v>
      </c>
      <c r="F33" s="64">
        <f t="shared" si="10"/>
        <v>98.559460805551907</v>
      </c>
      <c r="G33" s="64">
        <f t="shared" si="11"/>
        <v>98.439577669508452</v>
      </c>
      <c r="H33" s="96">
        <f t="shared" si="14"/>
        <v>1.3208865481261114</v>
      </c>
      <c r="I33" s="96">
        <f t="shared" si="15"/>
        <v>1.201003412082656</v>
      </c>
      <c r="J33" s="55">
        <f t="shared" si="2"/>
        <v>0.66301200143690264</v>
      </c>
      <c r="K33" s="97" t="str">
        <f t="shared" si="3"/>
        <v>okay</v>
      </c>
      <c r="L33" s="92" t="str">
        <f t="shared" si="4"/>
        <v xml:space="preserve"> </v>
      </c>
      <c r="M33" s="98">
        <v>0.11988313604345736</v>
      </c>
      <c r="N33" s="98" t="s">
        <v>171</v>
      </c>
      <c r="O33" s="55">
        <f t="shared" si="5"/>
        <v>0.35561806020402997</v>
      </c>
      <c r="P33" s="93">
        <f t="shared" si="16"/>
        <v>0.7609026597325308</v>
      </c>
      <c r="Q33" s="55">
        <f t="shared" si="6"/>
        <v>1.5336580874408199</v>
      </c>
      <c r="R33" s="69" t="str">
        <f t="shared" si="7"/>
        <v>Ja</v>
      </c>
      <c r="S33" s="94">
        <f t="shared" si="8"/>
        <v>80.991093541468359</v>
      </c>
      <c r="T33" s="55">
        <f t="shared" si="17"/>
        <v>1.2627311348549313</v>
      </c>
      <c r="U33" s="55">
        <f t="shared" si="18"/>
        <v>3.5</v>
      </c>
    </row>
    <row r="34" spans="1:21" ht="15.5" x14ac:dyDescent="0.35">
      <c r="A34" s="95">
        <f t="shared" si="12"/>
        <v>2</v>
      </c>
      <c r="B34" s="89">
        <f t="shared" si="0"/>
        <v>3.6</v>
      </c>
      <c r="C34" s="55">
        <f t="shared" si="9"/>
        <v>97.118455445544612</v>
      </c>
      <c r="D34" s="55">
        <f t="shared" si="1"/>
        <v>97.115118811881246</v>
      </c>
      <c r="E34" s="55">
        <f t="shared" si="13"/>
        <v>100.11845544554461</v>
      </c>
      <c r="F34" s="64">
        <f t="shared" si="10"/>
        <v>98.439577669508452</v>
      </c>
      <c r="G34" s="64">
        <f t="shared" si="11"/>
        <v>98.319752647012635</v>
      </c>
      <c r="H34" s="96">
        <f t="shared" si="14"/>
        <v>1.3211222239638403</v>
      </c>
      <c r="I34" s="96">
        <f t="shared" si="15"/>
        <v>1.201297201468023</v>
      </c>
      <c r="J34" s="55">
        <f t="shared" si="2"/>
        <v>0.66301200143568395</v>
      </c>
      <c r="K34" s="97" t="str">
        <f t="shared" si="3"/>
        <v>okay</v>
      </c>
      <c r="L34" s="92" t="str">
        <f t="shared" si="4"/>
        <v xml:space="preserve"> </v>
      </c>
      <c r="M34" s="98">
        <v>0.11982502249581638</v>
      </c>
      <c r="N34" s="98" t="s">
        <v>171</v>
      </c>
      <c r="O34" s="55">
        <f t="shared" si="5"/>
        <v>0.35552290604751868</v>
      </c>
      <c r="P34" s="93">
        <f t="shared" si="16"/>
        <v>0.76090265973043292</v>
      </c>
      <c r="Q34" s="55">
        <f t="shared" si="6"/>
        <v>1.5332863207398406</v>
      </c>
      <c r="R34" s="69" t="str">
        <f t="shared" si="7"/>
        <v>Ja</v>
      </c>
      <c r="S34" s="94">
        <f t="shared" si="8"/>
        <v>80.933002951563424</v>
      </c>
      <c r="T34" s="55">
        <f t="shared" si="17"/>
        <v>1.2630249242402982</v>
      </c>
      <c r="U34" s="55">
        <f t="shared" si="18"/>
        <v>3.5</v>
      </c>
    </row>
    <row r="35" spans="1:21" ht="15.5" x14ac:dyDescent="0.35">
      <c r="A35" s="95">
        <f t="shared" si="12"/>
        <v>1</v>
      </c>
      <c r="B35" s="89">
        <f t="shared" si="0"/>
        <v>0</v>
      </c>
      <c r="C35" s="55">
        <f t="shared" si="9"/>
        <v>96.998336633663428</v>
      </c>
      <c r="D35" s="55">
        <f t="shared" si="1"/>
        <v>96.995000000000061</v>
      </c>
      <c r="E35" s="55">
        <f t="shared" si="13"/>
        <v>99.998336633663428</v>
      </c>
      <c r="F35" s="64">
        <f t="shared" si="10"/>
        <v>98.319752647012635</v>
      </c>
      <c r="G35" s="64">
        <f t="shared" si="11"/>
        <v>98.2</v>
      </c>
      <c r="H35" s="96">
        <f t="shared" si="14"/>
        <v>1.3214160133492072</v>
      </c>
      <c r="I35" s="96">
        <f t="shared" si="15"/>
        <v>1.2016633663365752</v>
      </c>
      <c r="J35" s="55">
        <f t="shared" si="2"/>
        <v>0.6630120013069839</v>
      </c>
      <c r="K35" s="97" t="str">
        <f t="shared" si="3"/>
        <v>okay</v>
      </c>
      <c r="L35" s="92" t="str">
        <f t="shared" si="4"/>
        <v xml:space="preserve"> </v>
      </c>
      <c r="M35" s="98">
        <v>0.11975264701263019</v>
      </c>
      <c r="N35" s="98" t="s">
        <v>171</v>
      </c>
      <c r="O35" s="55">
        <f t="shared" si="5"/>
        <v>0.35540434784128028</v>
      </c>
      <c r="P35" s="93">
        <f t="shared" si="16"/>
        <v>0.7609026595088797</v>
      </c>
      <c r="Q35" s="55">
        <f t="shared" si="6"/>
        <v>1.5328231908435508</v>
      </c>
      <c r="R35" s="69" t="str">
        <f t="shared" si="7"/>
        <v>Ja</v>
      </c>
      <c r="S35" s="94" t="str">
        <f t="shared" si="8"/>
        <v xml:space="preserve"> </v>
      </c>
      <c r="T35" s="55" t="str">
        <f t="shared" si="17"/>
        <v xml:space="preserve"> </v>
      </c>
      <c r="U35" s="55" t="str">
        <f t="shared" si="18"/>
        <v xml:space="preserve"> </v>
      </c>
    </row>
    <row r="36" spans="1:21" ht="15.5" x14ac:dyDescent="0.35">
      <c r="A36" s="95">
        <f t="shared" si="12"/>
        <v>0</v>
      </c>
      <c r="B36" s="89">
        <f t="shared" si="0"/>
        <v>298.79999999999995</v>
      </c>
      <c r="C36" s="55" t="e">
        <f t="shared" si="9"/>
        <v>#VALUE!</v>
      </c>
      <c r="D36" s="55" t="e">
        <f t="shared" si="1"/>
        <v>#VALUE!</v>
      </c>
      <c r="E36" s="55" t="e">
        <f t="shared" si="13"/>
        <v>#VALUE!</v>
      </c>
      <c r="F36" s="64">
        <f t="shared" si="10"/>
        <v>4457.028767283593</v>
      </c>
      <c r="G36" s="64">
        <f t="shared" si="11"/>
        <v>4456.9091096418342</v>
      </c>
      <c r="H36" s="96" t="e">
        <f t="shared" si="14"/>
        <v>#VALUE!</v>
      </c>
      <c r="I36" s="96" t="e">
        <f t="shared" si="15"/>
        <v>#VALUE!</v>
      </c>
      <c r="J36" s="55" t="e">
        <f t="shared" si="2"/>
        <v>#VALUE!</v>
      </c>
      <c r="K36" s="97" t="e">
        <f t="shared" si="3"/>
        <v>#VALUE!</v>
      </c>
      <c r="L36" s="92" t="e">
        <f t="shared" si="4"/>
        <v>#VALUE!</v>
      </c>
      <c r="M36" s="98">
        <v>0.11965764175891805</v>
      </c>
      <c r="N36" s="98"/>
      <c r="O36" s="55" t="e">
        <f t="shared" si="5"/>
        <v>#VALUE!</v>
      </c>
      <c r="P36" s="93" t="e">
        <f t="shared" si="16"/>
        <v>#VALUE!</v>
      </c>
      <c r="Q36" s="55">
        <f t="shared" si="6"/>
        <v>1.5322150408183481</v>
      </c>
      <c r="R36" s="69" t="e">
        <f t="shared" si="7"/>
        <v>#VALUE!</v>
      </c>
      <c r="S36" s="94" t="e">
        <f t="shared" si="8"/>
        <v>#VALUE!</v>
      </c>
      <c r="T36" s="55" t="e">
        <f t="shared" si="17"/>
        <v>#VALUE!</v>
      </c>
      <c r="U36" s="55">
        <f t="shared" si="18"/>
        <v>3.5</v>
      </c>
    </row>
    <row r="37" spans="1:21" ht="15.5" x14ac:dyDescent="0.35">
      <c r="A37" s="95">
        <f t="shared" si="12"/>
        <v>-1</v>
      </c>
      <c r="B37" s="89">
        <f t="shared" si="0"/>
        <v>295.19999999999993</v>
      </c>
      <c r="C37" s="55" t="e">
        <f t="shared" si="9"/>
        <v>#VALUE!</v>
      </c>
      <c r="D37" s="55" t="e">
        <f t="shared" si="1"/>
        <v>#VALUE!</v>
      </c>
      <c r="E37" s="55" t="e">
        <f t="shared" si="13"/>
        <v>#VALUE!</v>
      </c>
      <c r="F37" s="64">
        <f t="shared" si="10"/>
        <v>4456.9091096418342</v>
      </c>
      <c r="G37" s="64">
        <f t="shared" si="11"/>
        <v>4456.7895025780053</v>
      </c>
      <c r="H37" s="96" t="e">
        <f t="shared" si="14"/>
        <v>#VALUE!</v>
      </c>
      <c r="I37" s="96" t="e">
        <f t="shared" si="15"/>
        <v>#VALUE!</v>
      </c>
      <c r="J37" s="55" t="e">
        <f t="shared" si="2"/>
        <v>#VALUE!</v>
      </c>
      <c r="K37" s="97" t="e">
        <f t="shared" si="3"/>
        <v>#VALUE!</v>
      </c>
      <c r="L37" s="92" t="e">
        <f t="shared" si="4"/>
        <v>#VALUE!</v>
      </c>
      <c r="M37" s="98">
        <v>0.11960706382878292</v>
      </c>
      <c r="N37" s="98"/>
      <c r="O37" s="55" t="e">
        <f t="shared" si="5"/>
        <v>#VALUE!</v>
      </c>
      <c r="P37" s="93" t="e">
        <f t="shared" si="16"/>
        <v>#VALUE!</v>
      </c>
      <c r="Q37" s="55">
        <f t="shared" si="6"/>
        <v>1.5318911816185643</v>
      </c>
      <c r="R37" s="69" t="e">
        <f t="shared" si="7"/>
        <v>#VALUE!</v>
      </c>
      <c r="S37" s="94" t="e">
        <f t="shared" si="8"/>
        <v>#VALUE!</v>
      </c>
      <c r="T37" s="55" t="e">
        <f t="shared" si="17"/>
        <v>#VALUE!</v>
      </c>
      <c r="U37" s="55">
        <f t="shared" si="18"/>
        <v>3.5</v>
      </c>
    </row>
    <row r="38" spans="1:21" ht="15.5" x14ac:dyDescent="0.35">
      <c r="A38" s="95">
        <f t="shared" si="12"/>
        <v>-2</v>
      </c>
      <c r="B38" s="89">
        <f t="shared" si="0"/>
        <v>291.59999999999991</v>
      </c>
      <c r="C38" s="55" t="e">
        <f t="shared" si="9"/>
        <v>#VALUE!</v>
      </c>
      <c r="D38" s="55" t="e">
        <f t="shared" si="1"/>
        <v>#VALUE!</v>
      </c>
      <c r="E38" s="55" t="e">
        <f t="shared" si="13"/>
        <v>#VALUE!</v>
      </c>
      <c r="F38" s="64">
        <f t="shared" si="10"/>
        <v>4456.7895025780053</v>
      </c>
      <c r="G38" s="64">
        <f t="shared" si="11"/>
        <v>4456.6699623236118</v>
      </c>
      <c r="H38" s="96" t="e">
        <f t="shared" si="14"/>
        <v>#VALUE!</v>
      </c>
      <c r="I38" s="96" t="e">
        <f t="shared" si="15"/>
        <v>#VALUE!</v>
      </c>
      <c r="J38" s="55" t="e">
        <f t="shared" si="2"/>
        <v>#VALUE!</v>
      </c>
      <c r="K38" s="97" t="e">
        <f t="shared" si="3"/>
        <v>#VALUE!</v>
      </c>
      <c r="L38" s="92" t="e">
        <f t="shared" si="4"/>
        <v>#VALUE!</v>
      </c>
      <c r="M38" s="98">
        <v>0.11954025439351652</v>
      </c>
      <c r="N38" s="98"/>
      <c r="O38" s="55" t="e">
        <f t="shared" si="5"/>
        <v>#VALUE!</v>
      </c>
      <c r="P38" s="93" t="e">
        <f t="shared" si="16"/>
        <v>#VALUE!</v>
      </c>
      <c r="Q38" s="55">
        <f t="shared" si="6"/>
        <v>1.531463284313664</v>
      </c>
      <c r="R38" s="69" t="e">
        <f t="shared" si="7"/>
        <v>#VALUE!</v>
      </c>
      <c r="S38" s="94" t="e">
        <f t="shared" si="8"/>
        <v>#VALUE!</v>
      </c>
      <c r="T38" s="55" t="e">
        <f t="shared" si="17"/>
        <v>#VALUE!</v>
      </c>
      <c r="U38" s="55">
        <f t="shared" si="18"/>
        <v>3.5</v>
      </c>
    </row>
    <row r="39" spans="1:21" ht="15.5" x14ac:dyDescent="0.35">
      <c r="A39" s="95">
        <f t="shared" si="12"/>
        <v>-3</v>
      </c>
      <c r="B39" s="89">
        <f t="shared" si="0"/>
        <v>287.99999999999989</v>
      </c>
      <c r="C39" s="55" t="e">
        <f t="shared" si="9"/>
        <v>#VALUE!</v>
      </c>
      <c r="D39" s="55" t="e">
        <f t="shared" si="1"/>
        <v>#VALUE!</v>
      </c>
      <c r="E39" s="55" t="e">
        <f t="shared" si="13"/>
        <v>#VALUE!</v>
      </c>
      <c r="F39" s="64">
        <f t="shared" si="10"/>
        <v>4456.6699623236118</v>
      </c>
      <c r="G39" s="64">
        <f t="shared" si="11"/>
        <v>4456.5505102941543</v>
      </c>
      <c r="H39" s="96" t="e">
        <f t="shared" si="14"/>
        <v>#VALUE!</v>
      </c>
      <c r="I39" s="96" t="e">
        <f t="shared" si="15"/>
        <v>#VALUE!</v>
      </c>
      <c r="J39" s="55" t="e">
        <f t="shared" si="2"/>
        <v>#VALUE!</v>
      </c>
      <c r="K39" s="97" t="e">
        <f t="shared" si="3"/>
        <v>#VALUE!</v>
      </c>
      <c r="L39" s="92" t="e">
        <f t="shared" si="4"/>
        <v>#VALUE!</v>
      </c>
      <c r="M39" s="98">
        <v>0.11945202945770904</v>
      </c>
      <c r="N39" s="98"/>
      <c r="O39" s="55" t="e">
        <f t="shared" si="5"/>
        <v>#VALUE!</v>
      </c>
      <c r="P39" s="93" t="e">
        <f t="shared" si="16"/>
        <v>#VALUE!</v>
      </c>
      <c r="Q39" s="55">
        <f t="shared" si="6"/>
        <v>1.5308980429670198</v>
      </c>
      <c r="R39" s="69" t="e">
        <f t="shared" si="7"/>
        <v>#VALUE!</v>
      </c>
      <c r="S39" s="94" t="e">
        <f t="shared" si="8"/>
        <v>#VALUE!</v>
      </c>
      <c r="T39" s="55" t="e">
        <f t="shared" si="17"/>
        <v>#VALUE!</v>
      </c>
      <c r="U39" s="55">
        <f t="shared" si="18"/>
        <v>3.5</v>
      </c>
    </row>
    <row r="40" spans="1:21" ht="15.5" x14ac:dyDescent="0.35">
      <c r="A40" s="95">
        <f t="shared" si="12"/>
        <v>-4</v>
      </c>
      <c r="B40" s="89">
        <f t="shared" si="0"/>
        <v>284.39999999999986</v>
      </c>
      <c r="C40" s="55" t="e">
        <f t="shared" si="9"/>
        <v>#VALUE!</v>
      </c>
      <c r="D40" s="55" t="e">
        <f t="shared" si="1"/>
        <v>#VALUE!</v>
      </c>
      <c r="E40" s="55" t="e">
        <f t="shared" si="13"/>
        <v>#VALUE!</v>
      </c>
      <c r="F40" s="64">
        <f t="shared" si="10"/>
        <v>4456.5505102941543</v>
      </c>
      <c r="G40" s="64">
        <f t="shared" si="11"/>
        <v>4456.5292241853276</v>
      </c>
      <c r="H40" s="96" t="e">
        <f t="shared" si="14"/>
        <v>#VALUE!</v>
      </c>
      <c r="I40" s="96" t="e">
        <f t="shared" si="15"/>
        <v>#VALUE!</v>
      </c>
      <c r="J40" s="55" t="e">
        <f t="shared" si="2"/>
        <v>#VALUE!</v>
      </c>
      <c r="K40" s="97" t="e">
        <f t="shared" si="3"/>
        <v>#VALUE!</v>
      </c>
      <c r="L40" s="92" t="e">
        <f t="shared" si="4"/>
        <v>#VALUE!</v>
      </c>
      <c r="M40" s="98">
        <v>2.1286108826954767E-2</v>
      </c>
      <c r="N40" s="98"/>
      <c r="O40" s="55" t="e">
        <f t="shared" si="5"/>
        <v>#VALUE!</v>
      </c>
      <c r="P40" s="93" t="e">
        <f t="shared" si="16"/>
        <v>#VALUE!</v>
      </c>
      <c r="Q40" s="55">
        <f t="shared" si="6"/>
        <v>0.64624566163716146</v>
      </c>
      <c r="R40" s="69" t="e">
        <f t="shared" si="7"/>
        <v>#VALUE!</v>
      </c>
      <c r="S40" s="94" t="e">
        <f t="shared" si="8"/>
        <v>#VALUE!</v>
      </c>
      <c r="T40" s="55" t="e">
        <f t="shared" si="17"/>
        <v>#VALUE!</v>
      </c>
      <c r="U40" s="55">
        <f t="shared" si="18"/>
        <v>3.5</v>
      </c>
    </row>
    <row r="41" spans="1:21" ht="15.5" x14ac:dyDescent="0.35">
      <c r="A41" s="95">
        <f t="shared" si="12"/>
        <v>-5</v>
      </c>
      <c r="B41" s="89">
        <f t="shared" si="0"/>
        <v>280.79999999999984</v>
      </c>
      <c r="C41" s="55" t="e">
        <f t="shared" si="9"/>
        <v>#VALUE!</v>
      </c>
      <c r="D41" s="55" t="e">
        <f t="shared" si="1"/>
        <v>#VALUE!</v>
      </c>
      <c r="E41" s="55" t="e">
        <f t="shared" si="13"/>
        <v>#VALUE!</v>
      </c>
      <c r="F41" s="64">
        <f t="shared" si="10"/>
        <v>4456.5292241853276</v>
      </c>
      <c r="G41" s="64">
        <f t="shared" si="11"/>
        <v>4456.5083635045958</v>
      </c>
      <c r="H41" s="96" t="e">
        <f t="shared" si="14"/>
        <v>#VALUE!</v>
      </c>
      <c r="I41" s="96" t="e">
        <f t="shared" si="15"/>
        <v>#VALUE!</v>
      </c>
      <c r="J41" s="55" t="e">
        <f t="shared" si="2"/>
        <v>#VALUE!</v>
      </c>
      <c r="K41" s="97" t="e">
        <f t="shared" si="3"/>
        <v>#VALUE!</v>
      </c>
      <c r="L41" s="92" t="e">
        <f t="shared" si="4"/>
        <v>#VALUE!</v>
      </c>
      <c r="M41" s="98">
        <v>2.0860680731777749E-2</v>
      </c>
      <c r="N41" s="98"/>
      <c r="O41" s="55" t="e">
        <f t="shared" si="5"/>
        <v>#VALUE!</v>
      </c>
      <c r="P41" s="93" t="e">
        <f t="shared" si="16"/>
        <v>#VALUE!</v>
      </c>
      <c r="Q41" s="55">
        <f t="shared" si="6"/>
        <v>0.63975507497594697</v>
      </c>
      <c r="R41" s="69" t="e">
        <f t="shared" si="7"/>
        <v>#VALUE!</v>
      </c>
      <c r="S41" s="94" t="e">
        <f t="shared" si="8"/>
        <v>#VALUE!</v>
      </c>
      <c r="T41" s="55" t="e">
        <f t="shared" si="17"/>
        <v>#VALUE!</v>
      </c>
      <c r="U41" s="55">
        <f t="shared" si="18"/>
        <v>3.5</v>
      </c>
    </row>
    <row r="42" spans="1:21" ht="15.5" x14ac:dyDescent="0.35">
      <c r="A42" s="95">
        <f t="shared" si="12"/>
        <v>-6</v>
      </c>
      <c r="B42" s="89">
        <f t="shared" si="0"/>
        <v>277.19999999999982</v>
      </c>
      <c r="C42" s="55" t="e">
        <f t="shared" si="9"/>
        <v>#VALUE!</v>
      </c>
      <c r="D42" s="55" t="e">
        <f t="shared" si="1"/>
        <v>#VALUE!</v>
      </c>
      <c r="E42" s="55" t="e">
        <f t="shared" si="13"/>
        <v>#VALUE!</v>
      </c>
      <c r="F42" s="64">
        <f t="shared" si="10"/>
        <v>4456.5083635045958</v>
      </c>
      <c r="G42" s="64">
        <f t="shared" si="11"/>
        <v>4456.4879999999957</v>
      </c>
      <c r="H42" s="96" t="e">
        <f t="shared" si="14"/>
        <v>#VALUE!</v>
      </c>
      <c r="I42" s="96" t="e">
        <f t="shared" si="15"/>
        <v>#VALUE!</v>
      </c>
      <c r="J42" s="55" t="e">
        <f t="shared" si="2"/>
        <v>#VALUE!</v>
      </c>
      <c r="K42" s="97" t="e">
        <f t="shared" si="3"/>
        <v>#VALUE!</v>
      </c>
      <c r="L42" s="92" t="e">
        <f t="shared" si="4"/>
        <v>#VALUE!</v>
      </c>
      <c r="M42" s="98">
        <v>2.0363504599596717E-2</v>
      </c>
      <c r="N42" s="98"/>
      <c r="O42" s="55" t="e">
        <f t="shared" si="5"/>
        <v>#VALUE!</v>
      </c>
      <c r="P42" s="93" t="e">
        <f t="shared" si="16"/>
        <v>#VALUE!</v>
      </c>
      <c r="Q42" s="55">
        <f t="shared" si="6"/>
        <v>0.63208540581482153</v>
      </c>
      <c r="R42" s="69" t="e">
        <f t="shared" si="7"/>
        <v>#VALUE!</v>
      </c>
      <c r="S42" s="94" t="e">
        <f t="shared" si="8"/>
        <v>#VALUE!</v>
      </c>
      <c r="T42" s="55" t="e">
        <f t="shared" si="17"/>
        <v>#VALUE!</v>
      </c>
      <c r="U42" s="55">
        <f t="shared" si="18"/>
        <v>3.5</v>
      </c>
    </row>
    <row r="43" spans="1:21" ht="15.5" x14ac:dyDescent="0.35">
      <c r="A43" s="95">
        <f t="shared" si="12"/>
        <v>-7</v>
      </c>
      <c r="B43" s="89">
        <f t="shared" si="0"/>
        <v>273.5999999999998</v>
      </c>
      <c r="C43" s="55" t="e">
        <f t="shared" si="9"/>
        <v>#VALUE!</v>
      </c>
      <c r="D43" s="55" t="e">
        <f t="shared" si="1"/>
        <v>#VALUE!</v>
      </c>
      <c r="E43" s="55" t="e">
        <f t="shared" si="13"/>
        <v>#VALUE!</v>
      </c>
      <c r="F43" s="64">
        <f t="shared" si="10"/>
        <v>4456.4879999999957</v>
      </c>
      <c r="G43" s="64">
        <f t="shared" si="11"/>
        <v>4435.3499999999958</v>
      </c>
      <c r="H43" s="96" t="e">
        <f t="shared" si="14"/>
        <v>#VALUE!</v>
      </c>
      <c r="I43" s="96" t="e">
        <f t="shared" si="15"/>
        <v>#VALUE!</v>
      </c>
      <c r="J43" s="55" t="e">
        <f t="shared" si="2"/>
        <v>#VALUE!</v>
      </c>
      <c r="K43" s="97" t="e">
        <f t="shared" si="3"/>
        <v>#VALUE!</v>
      </c>
      <c r="L43" s="92" t="e">
        <f t="shared" si="4"/>
        <v>#VALUE!</v>
      </c>
      <c r="M43" s="98">
        <v>21.138000000000002</v>
      </c>
      <c r="N43" s="98"/>
      <c r="O43" s="55" t="e">
        <f t="shared" si="5"/>
        <v>#VALUE!</v>
      </c>
      <c r="P43" s="93" t="e">
        <f t="shared" si="16"/>
        <v>#VALUE!</v>
      </c>
      <c r="Q43" s="55">
        <f t="shared" si="6"/>
        <v>20.364860912856734</v>
      </c>
      <c r="R43" s="69" t="e">
        <f t="shared" si="7"/>
        <v>#VALUE!</v>
      </c>
      <c r="S43" s="94" t="e">
        <f t="shared" si="8"/>
        <v>#VALUE!</v>
      </c>
      <c r="T43" s="55" t="e">
        <f t="shared" si="17"/>
        <v>#VALUE!</v>
      </c>
      <c r="U43" s="55">
        <f t="shared" si="18"/>
        <v>3.5</v>
      </c>
    </row>
    <row r="44" spans="1:21" ht="15.5" x14ac:dyDescent="0.35">
      <c r="A44" s="95">
        <f t="shared" si="12"/>
        <v>-8</v>
      </c>
      <c r="B44" s="89">
        <f t="shared" si="0"/>
        <v>269.99999999999977</v>
      </c>
      <c r="C44" s="55" t="e">
        <f t="shared" si="9"/>
        <v>#VALUE!</v>
      </c>
      <c r="D44" s="55" t="e">
        <f t="shared" si="1"/>
        <v>#VALUE!</v>
      </c>
      <c r="E44" s="55" t="e">
        <f t="shared" si="13"/>
        <v>#VALUE!</v>
      </c>
      <c r="F44" s="64">
        <f t="shared" si="10"/>
        <v>4435.3499999999958</v>
      </c>
      <c r="G44" s="64">
        <f t="shared" si="11"/>
        <v>4413.2119999999959</v>
      </c>
      <c r="H44" s="96" t="e">
        <f t="shared" si="14"/>
        <v>#VALUE!</v>
      </c>
      <c r="I44" s="96" t="e">
        <f t="shared" si="15"/>
        <v>#VALUE!</v>
      </c>
      <c r="J44" s="55" t="e">
        <f t="shared" si="2"/>
        <v>#VALUE!</v>
      </c>
      <c r="K44" s="97" t="e">
        <f t="shared" si="3"/>
        <v>#VALUE!</v>
      </c>
      <c r="L44" s="92" t="e">
        <f t="shared" si="4"/>
        <v>#VALUE!</v>
      </c>
      <c r="M44" s="98">
        <v>22.138000000000002</v>
      </c>
      <c r="N44" s="98"/>
      <c r="O44" s="55" t="e">
        <f t="shared" si="5"/>
        <v>#VALUE!</v>
      </c>
      <c r="P44" s="93" t="e">
        <f t="shared" si="16"/>
        <v>#VALUE!</v>
      </c>
      <c r="Q44" s="55">
        <f t="shared" si="6"/>
        <v>20.841006693535704</v>
      </c>
      <c r="R44" s="69" t="e">
        <f t="shared" si="7"/>
        <v>#VALUE!</v>
      </c>
      <c r="S44" s="94" t="e">
        <f t="shared" si="8"/>
        <v>#VALUE!</v>
      </c>
      <c r="T44" s="55" t="e">
        <f t="shared" si="17"/>
        <v>#VALUE!</v>
      </c>
      <c r="U44" s="55">
        <f t="shared" si="18"/>
        <v>3.5</v>
      </c>
    </row>
    <row r="45" spans="1:21" ht="15.5" x14ac:dyDescent="0.35">
      <c r="A45" s="95">
        <f t="shared" si="12"/>
        <v>-9</v>
      </c>
      <c r="B45" s="89">
        <f t="shared" si="0"/>
        <v>266.39999999999975</v>
      </c>
      <c r="C45" s="55" t="e">
        <f t="shared" si="9"/>
        <v>#VALUE!</v>
      </c>
      <c r="D45" s="55" t="e">
        <f t="shared" si="1"/>
        <v>#VALUE!</v>
      </c>
      <c r="E45" s="55" t="e">
        <f t="shared" si="13"/>
        <v>#VALUE!</v>
      </c>
      <c r="F45" s="64">
        <f t="shared" si="10"/>
        <v>4413.2119999999959</v>
      </c>
      <c r="G45" s="64">
        <f t="shared" si="11"/>
        <v>4390.073999999996</v>
      </c>
      <c r="H45" s="96" t="e">
        <f t="shared" si="14"/>
        <v>#VALUE!</v>
      </c>
      <c r="I45" s="96" t="e">
        <f t="shared" si="15"/>
        <v>#VALUE!</v>
      </c>
      <c r="J45" s="55" t="e">
        <f t="shared" si="2"/>
        <v>#VALUE!</v>
      </c>
      <c r="K45" s="97" t="e">
        <f t="shared" si="3"/>
        <v>#VALUE!</v>
      </c>
      <c r="L45" s="92" t="e">
        <f t="shared" si="4"/>
        <v>#VALUE!</v>
      </c>
      <c r="M45" s="98">
        <v>23.138000000000002</v>
      </c>
      <c r="N45" s="98"/>
      <c r="O45" s="55" t="e">
        <f t="shared" si="5"/>
        <v>#VALUE!</v>
      </c>
      <c r="P45" s="93" t="e">
        <f t="shared" si="16"/>
        <v>#VALUE!</v>
      </c>
      <c r="Q45" s="55">
        <f t="shared" si="6"/>
        <v>21.306514496744889</v>
      </c>
      <c r="R45" s="69" t="e">
        <f t="shared" si="7"/>
        <v>#VALUE!</v>
      </c>
      <c r="S45" s="94" t="e">
        <f t="shared" si="8"/>
        <v>#VALUE!</v>
      </c>
      <c r="T45" s="55" t="e">
        <f t="shared" si="17"/>
        <v>#VALUE!</v>
      </c>
      <c r="U45" s="55">
        <f t="shared" si="18"/>
        <v>3.5</v>
      </c>
    </row>
    <row r="46" spans="1:21" ht="15.5" x14ac:dyDescent="0.35">
      <c r="A46" s="95">
        <f t="shared" si="12"/>
        <v>-10</v>
      </c>
      <c r="B46" s="89">
        <f t="shared" si="0"/>
        <v>262.79999999999973</v>
      </c>
      <c r="C46" s="55" t="e">
        <f t="shared" si="9"/>
        <v>#VALUE!</v>
      </c>
      <c r="D46" s="55" t="e">
        <f t="shared" si="1"/>
        <v>#VALUE!</v>
      </c>
      <c r="E46" s="55" t="e">
        <f t="shared" si="13"/>
        <v>#VALUE!</v>
      </c>
      <c r="F46" s="64">
        <f t="shared" si="10"/>
        <v>4390.073999999996</v>
      </c>
      <c r="G46" s="64">
        <f t="shared" si="11"/>
        <v>4365.9359999999961</v>
      </c>
      <c r="H46" s="96" t="e">
        <f t="shared" si="14"/>
        <v>#VALUE!</v>
      </c>
      <c r="I46" s="96" t="e">
        <f t="shared" si="15"/>
        <v>#VALUE!</v>
      </c>
      <c r="J46" s="55" t="e">
        <f t="shared" si="2"/>
        <v>#VALUE!</v>
      </c>
      <c r="K46" s="97" t="e">
        <f t="shared" si="3"/>
        <v>#VALUE!</v>
      </c>
      <c r="L46" s="92" t="e">
        <f t="shared" si="4"/>
        <v>#VALUE!</v>
      </c>
      <c r="M46" s="98">
        <v>24.138000000000002</v>
      </c>
      <c r="N46" s="98"/>
      <c r="O46" s="55" t="e">
        <f t="shared" si="5"/>
        <v>#VALUE!</v>
      </c>
      <c r="P46" s="93" t="e">
        <f t="shared" si="16"/>
        <v>#VALUE!</v>
      </c>
      <c r="Q46" s="55">
        <f t="shared" si="6"/>
        <v>21.762066997415481</v>
      </c>
      <c r="R46" s="69" t="e">
        <f t="shared" si="7"/>
        <v>#VALUE!</v>
      </c>
      <c r="S46" s="94" t="e">
        <f t="shared" si="8"/>
        <v>#VALUE!</v>
      </c>
      <c r="T46" s="55" t="e">
        <f t="shared" si="17"/>
        <v>#VALUE!</v>
      </c>
      <c r="U46" s="55">
        <f t="shared" si="18"/>
        <v>3.5</v>
      </c>
    </row>
    <row r="47" spans="1:21" ht="15.5" x14ac:dyDescent="0.35">
      <c r="A47" s="95">
        <f t="shared" si="12"/>
        <v>-11</v>
      </c>
      <c r="B47" s="89">
        <f t="shared" si="0"/>
        <v>259.1999999999997</v>
      </c>
      <c r="C47" s="55" t="e">
        <f t="shared" si="9"/>
        <v>#VALUE!</v>
      </c>
      <c r="D47" s="55" t="e">
        <f t="shared" si="1"/>
        <v>#VALUE!</v>
      </c>
      <c r="E47" s="55" t="e">
        <f t="shared" si="13"/>
        <v>#VALUE!</v>
      </c>
      <c r="F47" s="64">
        <f t="shared" si="10"/>
        <v>4365.9359999999961</v>
      </c>
      <c r="G47" s="64">
        <f t="shared" si="11"/>
        <v>4340.7979999999961</v>
      </c>
      <c r="H47" s="96" t="e">
        <f t="shared" si="14"/>
        <v>#VALUE!</v>
      </c>
      <c r="I47" s="96" t="e">
        <f t="shared" si="15"/>
        <v>#VALUE!</v>
      </c>
      <c r="J47" s="55" t="e">
        <f t="shared" si="2"/>
        <v>#VALUE!</v>
      </c>
      <c r="K47" s="97" t="e">
        <f t="shared" si="3"/>
        <v>#VALUE!</v>
      </c>
      <c r="L47" s="92" t="e">
        <f t="shared" si="4"/>
        <v>#VALUE!</v>
      </c>
      <c r="M47" s="98">
        <v>25.138000000000002</v>
      </c>
      <c r="N47" s="98"/>
      <c r="O47" s="55" t="e">
        <f t="shared" si="5"/>
        <v>#VALUE!</v>
      </c>
      <c r="P47" s="93" t="e">
        <f t="shared" si="16"/>
        <v>#VALUE!</v>
      </c>
      <c r="Q47" s="55">
        <f t="shared" si="6"/>
        <v>22.208276835450338</v>
      </c>
      <c r="R47" s="69" t="e">
        <f t="shared" si="7"/>
        <v>#VALUE!</v>
      </c>
      <c r="S47" s="94" t="e">
        <f t="shared" si="8"/>
        <v>#VALUE!</v>
      </c>
      <c r="T47" s="55" t="e">
        <f t="shared" si="17"/>
        <v>#VALUE!</v>
      </c>
      <c r="U47" s="55">
        <f t="shared" si="18"/>
        <v>3.5</v>
      </c>
    </row>
    <row r="48" spans="1:21" ht="15.5" x14ac:dyDescent="0.35">
      <c r="A48" s="95">
        <f t="shared" si="12"/>
        <v>-12</v>
      </c>
      <c r="B48" s="89">
        <f t="shared" si="0"/>
        <v>255.59999999999971</v>
      </c>
      <c r="C48" s="55" t="e">
        <f t="shared" si="9"/>
        <v>#VALUE!</v>
      </c>
      <c r="D48" s="55" t="e">
        <f t="shared" si="1"/>
        <v>#VALUE!</v>
      </c>
      <c r="E48" s="55" t="e">
        <f t="shared" si="13"/>
        <v>#VALUE!</v>
      </c>
      <c r="F48" s="64">
        <f t="shared" si="10"/>
        <v>4340.7979999999961</v>
      </c>
      <c r="G48" s="64">
        <f t="shared" si="11"/>
        <v>4314.6599999999962</v>
      </c>
      <c r="H48" s="96" t="e">
        <f t="shared" si="14"/>
        <v>#VALUE!</v>
      </c>
      <c r="I48" s="96" t="e">
        <f t="shared" si="15"/>
        <v>#VALUE!</v>
      </c>
      <c r="J48" s="55" t="e">
        <f t="shared" si="2"/>
        <v>#VALUE!</v>
      </c>
      <c r="K48" s="97" t="e">
        <f t="shared" si="3"/>
        <v>#VALUE!</v>
      </c>
      <c r="L48" s="92" t="e">
        <f t="shared" si="4"/>
        <v>#VALUE!</v>
      </c>
      <c r="M48" s="98">
        <v>26.138000000000002</v>
      </c>
      <c r="N48" s="98"/>
      <c r="O48" s="55" t="e">
        <f t="shared" si="5"/>
        <v>#VALUE!</v>
      </c>
      <c r="P48" s="93" t="e">
        <f t="shared" si="16"/>
        <v>#VALUE!</v>
      </c>
      <c r="Q48" s="55">
        <f t="shared" si="6"/>
        <v>22.645696279867398</v>
      </c>
      <c r="R48" s="69" t="e">
        <f t="shared" si="7"/>
        <v>#VALUE!</v>
      </c>
      <c r="S48" s="94" t="e">
        <f t="shared" si="8"/>
        <v>#VALUE!</v>
      </c>
      <c r="T48" s="55" t="e">
        <f t="shared" si="17"/>
        <v>#VALUE!</v>
      </c>
      <c r="U48" s="55">
        <f t="shared" si="18"/>
        <v>3.5</v>
      </c>
    </row>
    <row r="49" spans="1:21" ht="15.5" x14ac:dyDescent="0.35">
      <c r="A49" s="95">
        <f t="shared" si="12"/>
        <v>-13</v>
      </c>
      <c r="B49" s="89">
        <f t="shared" si="0"/>
        <v>251.99999999999972</v>
      </c>
      <c r="C49" s="55" t="e">
        <f t="shared" si="9"/>
        <v>#VALUE!</v>
      </c>
      <c r="D49" s="55" t="e">
        <f t="shared" si="1"/>
        <v>#VALUE!</v>
      </c>
      <c r="E49" s="55" t="e">
        <f t="shared" si="13"/>
        <v>#VALUE!</v>
      </c>
      <c r="F49" s="64">
        <f t="shared" si="10"/>
        <v>4314.6599999999962</v>
      </c>
      <c r="G49" s="64">
        <f t="shared" si="11"/>
        <v>4287.5219999999963</v>
      </c>
      <c r="H49" s="96" t="e">
        <f t="shared" si="14"/>
        <v>#VALUE!</v>
      </c>
      <c r="I49" s="96" t="e">
        <f t="shared" si="15"/>
        <v>#VALUE!</v>
      </c>
      <c r="J49" s="55" t="e">
        <f t="shared" si="2"/>
        <v>#VALUE!</v>
      </c>
      <c r="K49" s="97" t="e">
        <f t="shared" si="3"/>
        <v>#VALUE!</v>
      </c>
      <c r="L49" s="92" t="e">
        <f t="shared" si="4"/>
        <v>#VALUE!</v>
      </c>
      <c r="M49" s="98">
        <v>27.138000000000002</v>
      </c>
      <c r="N49" s="98"/>
      <c r="O49" s="55" t="e">
        <f t="shared" si="5"/>
        <v>#VALUE!</v>
      </c>
      <c r="P49" s="93" t="e">
        <f t="shared" si="16"/>
        <v>#VALUE!</v>
      </c>
      <c r="Q49" s="55">
        <f t="shared" si="6"/>
        <v>23.07482524310856</v>
      </c>
      <c r="R49" s="69" t="e">
        <f t="shared" si="7"/>
        <v>#VALUE!</v>
      </c>
      <c r="S49" s="94" t="e">
        <f t="shared" si="8"/>
        <v>#VALUE!</v>
      </c>
      <c r="T49" s="55" t="e">
        <f t="shared" si="17"/>
        <v>#VALUE!</v>
      </c>
      <c r="U49" s="55">
        <f t="shared" si="18"/>
        <v>3.5</v>
      </c>
    </row>
    <row r="50" spans="1:21" ht="15.5" x14ac:dyDescent="0.35">
      <c r="A50" s="95">
        <f t="shared" si="12"/>
        <v>-14</v>
      </c>
      <c r="B50" s="89">
        <f t="shared" si="0"/>
        <v>248.39999999999972</v>
      </c>
      <c r="C50" s="55" t="e">
        <f t="shared" si="9"/>
        <v>#VALUE!</v>
      </c>
      <c r="D50" s="55" t="e">
        <f t="shared" si="1"/>
        <v>#VALUE!</v>
      </c>
      <c r="E50" s="55" t="e">
        <f t="shared" si="13"/>
        <v>#VALUE!</v>
      </c>
      <c r="F50" s="64">
        <f t="shared" si="10"/>
        <v>4287.5219999999963</v>
      </c>
      <c r="G50" s="64">
        <f t="shared" si="11"/>
        <v>4259.3839999999964</v>
      </c>
      <c r="H50" s="96" t="e">
        <f t="shared" si="14"/>
        <v>#VALUE!</v>
      </c>
      <c r="I50" s="96" t="e">
        <f t="shared" si="15"/>
        <v>#VALUE!</v>
      </c>
      <c r="J50" s="55" t="e">
        <f t="shared" si="2"/>
        <v>#VALUE!</v>
      </c>
      <c r="K50" s="97" t="e">
        <f t="shared" si="3"/>
        <v>#VALUE!</v>
      </c>
      <c r="L50" s="92" t="e">
        <f t="shared" si="4"/>
        <v>#VALUE!</v>
      </c>
      <c r="M50" s="98">
        <v>28.138000000000002</v>
      </c>
      <c r="N50" s="98"/>
      <c r="O50" s="55" t="e">
        <f t="shared" si="5"/>
        <v>#VALUE!</v>
      </c>
      <c r="P50" s="93" t="e">
        <f t="shared" si="16"/>
        <v>#VALUE!</v>
      </c>
      <c r="Q50" s="55">
        <f t="shared" si="6"/>
        <v>23.496117977231901</v>
      </c>
      <c r="R50" s="69" t="e">
        <f t="shared" si="7"/>
        <v>#VALUE!</v>
      </c>
      <c r="S50" s="94" t="e">
        <f t="shared" si="8"/>
        <v>#VALUE!</v>
      </c>
      <c r="T50" s="55" t="e">
        <f t="shared" si="17"/>
        <v>#VALUE!</v>
      </c>
      <c r="U50" s="55">
        <f t="shared" si="18"/>
        <v>3.5</v>
      </c>
    </row>
    <row r="51" spans="1:21" ht="15.5" x14ac:dyDescent="0.35">
      <c r="A51" s="95">
        <f t="shared" si="12"/>
        <v>-15</v>
      </c>
      <c r="B51" s="89">
        <f t="shared" si="0"/>
        <v>244.79999999999973</v>
      </c>
      <c r="C51" s="55" t="e">
        <f t="shared" si="9"/>
        <v>#VALUE!</v>
      </c>
      <c r="D51" s="55" t="e">
        <f t="shared" si="1"/>
        <v>#VALUE!</v>
      </c>
      <c r="E51" s="55" t="e">
        <f t="shared" si="13"/>
        <v>#VALUE!</v>
      </c>
      <c r="F51" s="64">
        <f t="shared" si="10"/>
        <v>4259.3839999999964</v>
      </c>
      <c r="G51" s="64">
        <f t="shared" si="11"/>
        <v>4230.2459999999965</v>
      </c>
      <c r="H51" s="96" t="e">
        <f t="shared" si="14"/>
        <v>#VALUE!</v>
      </c>
      <c r="I51" s="96" t="e">
        <f t="shared" si="15"/>
        <v>#VALUE!</v>
      </c>
      <c r="J51" s="55" t="e">
        <f t="shared" si="2"/>
        <v>#VALUE!</v>
      </c>
      <c r="K51" s="97" t="e">
        <f t="shared" si="3"/>
        <v>#VALUE!</v>
      </c>
      <c r="L51" s="92" t="e">
        <f t="shared" si="4"/>
        <v>#VALUE!</v>
      </c>
      <c r="M51" s="98">
        <v>29.138000000000002</v>
      </c>
      <c r="N51" s="98"/>
      <c r="O51" s="55" t="e">
        <f t="shared" si="5"/>
        <v>#VALUE!</v>
      </c>
      <c r="P51" s="93" t="e">
        <f t="shared" si="16"/>
        <v>#VALUE!</v>
      </c>
      <c r="Q51" s="55">
        <f t="shared" si="6"/>
        <v>23.909988707651035</v>
      </c>
      <c r="R51" s="69" t="e">
        <f t="shared" si="7"/>
        <v>#VALUE!</v>
      </c>
      <c r="S51" s="94" t="e">
        <f t="shared" si="8"/>
        <v>#VALUE!</v>
      </c>
      <c r="T51" s="55" t="e">
        <f t="shared" si="17"/>
        <v>#VALUE!</v>
      </c>
      <c r="U51" s="55">
        <f t="shared" si="18"/>
        <v>3.5</v>
      </c>
    </row>
    <row r="52" spans="1:21" ht="15.5" x14ac:dyDescent="0.35">
      <c r="A52" s="95">
        <f t="shared" si="12"/>
        <v>-16</v>
      </c>
      <c r="B52" s="89">
        <f t="shared" si="0"/>
        <v>241.19999999999973</v>
      </c>
      <c r="C52" s="55" t="e">
        <f t="shared" si="9"/>
        <v>#VALUE!</v>
      </c>
      <c r="D52" s="55" t="e">
        <f t="shared" si="1"/>
        <v>#VALUE!</v>
      </c>
      <c r="E52" s="55" t="e">
        <f t="shared" si="13"/>
        <v>#VALUE!</v>
      </c>
      <c r="F52" s="64">
        <f t="shared" si="10"/>
        <v>4230.2459999999965</v>
      </c>
      <c r="G52" s="64">
        <f t="shared" si="11"/>
        <v>4200.1079999999965</v>
      </c>
      <c r="H52" s="96" t="e">
        <f t="shared" si="14"/>
        <v>#VALUE!</v>
      </c>
      <c r="I52" s="96" t="e">
        <f t="shared" si="15"/>
        <v>#VALUE!</v>
      </c>
      <c r="J52" s="55" t="e">
        <f t="shared" si="2"/>
        <v>#VALUE!</v>
      </c>
      <c r="K52" s="97" t="e">
        <f t="shared" si="3"/>
        <v>#VALUE!</v>
      </c>
      <c r="L52" s="92" t="e">
        <f t="shared" si="4"/>
        <v>#VALUE!</v>
      </c>
      <c r="M52" s="98">
        <v>30.138000000000002</v>
      </c>
      <c r="N52" s="98"/>
      <c r="O52" s="55" t="e">
        <f t="shared" si="5"/>
        <v>#VALUE!</v>
      </c>
      <c r="P52" s="93" t="e">
        <f t="shared" si="16"/>
        <v>#VALUE!</v>
      </c>
      <c r="Q52" s="55">
        <f t="shared" si="6"/>
        <v>24.316816403468611</v>
      </c>
      <c r="R52" s="69" t="e">
        <f t="shared" si="7"/>
        <v>#VALUE!</v>
      </c>
      <c r="S52" s="94" t="e">
        <f t="shared" si="8"/>
        <v>#VALUE!</v>
      </c>
      <c r="T52" s="55" t="e">
        <f t="shared" si="17"/>
        <v>#VALUE!</v>
      </c>
      <c r="U52" s="55">
        <f t="shared" si="18"/>
        <v>3.5</v>
      </c>
    </row>
    <row r="53" spans="1:21" ht="15.5" x14ac:dyDescent="0.35">
      <c r="A53" s="95">
        <f t="shared" si="12"/>
        <v>-17</v>
      </c>
      <c r="B53" s="89">
        <f t="shared" si="0"/>
        <v>237.59999999999974</v>
      </c>
      <c r="C53" s="55" t="e">
        <f t="shared" si="9"/>
        <v>#VALUE!</v>
      </c>
      <c r="D53" s="55" t="e">
        <f t="shared" ref="D53:D84" si="19">C53-$F$16*$K$10</f>
        <v>#VALUE!</v>
      </c>
      <c r="E53" s="55" t="e">
        <f t="shared" si="13"/>
        <v>#VALUE!</v>
      </c>
      <c r="F53" s="64">
        <f t="shared" si="10"/>
        <v>4200.1079999999965</v>
      </c>
      <c r="G53" s="64">
        <f t="shared" si="11"/>
        <v>4168.9699999999966</v>
      </c>
      <c r="H53" s="96" t="e">
        <f t="shared" si="14"/>
        <v>#VALUE!</v>
      </c>
      <c r="I53" s="96" t="e">
        <f t="shared" si="15"/>
        <v>#VALUE!</v>
      </c>
      <c r="J53" s="55" t="e">
        <f t="shared" si="2"/>
        <v>#VALUE!</v>
      </c>
      <c r="K53" s="97" t="e">
        <f t="shared" si="3"/>
        <v>#VALUE!</v>
      </c>
      <c r="L53" s="92" t="e">
        <f t="shared" si="4"/>
        <v>#VALUE!</v>
      </c>
      <c r="M53" s="98">
        <v>31.138000000000002</v>
      </c>
      <c r="N53" s="98"/>
      <c r="O53" s="55" t="e">
        <f t="shared" si="5"/>
        <v>#VALUE!</v>
      </c>
      <c r="P53" s="93" t="e">
        <f t="shared" si="16"/>
        <v>#VALUE!</v>
      </c>
      <c r="Q53" s="55">
        <f t="shared" si="6"/>
        <v>24.716948840825804</v>
      </c>
      <c r="R53" s="69" t="e">
        <f t="shared" si="7"/>
        <v>#VALUE!</v>
      </c>
      <c r="S53" s="94" t="e">
        <f t="shared" si="8"/>
        <v>#VALUE!</v>
      </c>
      <c r="T53" s="55" t="e">
        <f t="shared" si="17"/>
        <v>#VALUE!</v>
      </c>
      <c r="U53" s="55">
        <f t="shared" si="18"/>
        <v>3.5</v>
      </c>
    </row>
    <row r="54" spans="1:21" ht="15.5" x14ac:dyDescent="0.35">
      <c r="A54" s="95">
        <f t="shared" si="12"/>
        <v>-18</v>
      </c>
      <c r="B54" s="89">
        <f t="shared" si="0"/>
        <v>233.99999999999974</v>
      </c>
      <c r="C54" s="55" t="e">
        <f t="shared" ref="C54:C85" si="20">C53-((U53+$F$16)*$K$10)</f>
        <v>#VALUE!</v>
      </c>
      <c r="D54" s="55" t="e">
        <f t="shared" si="19"/>
        <v>#VALUE!</v>
      </c>
      <c r="E54" s="55" t="e">
        <f t="shared" si="13"/>
        <v>#VALUE!</v>
      </c>
      <c r="F54" s="64">
        <f t="shared" si="10"/>
        <v>4168.9699999999966</v>
      </c>
      <c r="G54" s="64">
        <f t="shared" si="11"/>
        <v>4136.8319999999967</v>
      </c>
      <c r="H54" s="96" t="e">
        <f t="shared" si="14"/>
        <v>#VALUE!</v>
      </c>
      <c r="I54" s="96" t="e">
        <f t="shared" si="15"/>
        <v>#VALUE!</v>
      </c>
      <c r="J54" s="55" t="e">
        <f t="shared" si="2"/>
        <v>#VALUE!</v>
      </c>
      <c r="K54" s="97" t="e">
        <f t="shared" si="3"/>
        <v>#VALUE!</v>
      </c>
      <c r="L54" s="92" t="e">
        <f t="shared" si="4"/>
        <v>#VALUE!</v>
      </c>
      <c r="M54" s="98">
        <v>32.137999999999998</v>
      </c>
      <c r="N54" s="98"/>
      <c r="O54" s="55" t="e">
        <f t="shared" si="5"/>
        <v>#VALUE!</v>
      </c>
      <c r="P54" s="93" t="e">
        <f t="shared" si="16"/>
        <v>#VALUE!</v>
      </c>
      <c r="Q54" s="55">
        <f t="shared" si="6"/>
        <v>25.110706083262574</v>
      </c>
      <c r="R54" s="69" t="e">
        <f t="shared" si="7"/>
        <v>#VALUE!</v>
      </c>
      <c r="S54" s="94" t="e">
        <f t="shared" si="8"/>
        <v>#VALUE!</v>
      </c>
      <c r="T54" s="55" t="e">
        <f t="shared" si="17"/>
        <v>#VALUE!</v>
      </c>
      <c r="U54" s="55">
        <f t="shared" si="18"/>
        <v>3.5</v>
      </c>
    </row>
    <row r="55" spans="1:21" ht="15.5" x14ac:dyDescent="0.35">
      <c r="A55" s="95">
        <f t="shared" si="12"/>
        <v>-19</v>
      </c>
      <c r="B55" s="89">
        <f t="shared" si="0"/>
        <v>230.39999999999975</v>
      </c>
      <c r="C55" s="55" t="e">
        <f t="shared" si="20"/>
        <v>#VALUE!</v>
      </c>
      <c r="D55" s="55" t="e">
        <f t="shared" si="19"/>
        <v>#VALUE!</v>
      </c>
      <c r="E55" s="55" t="e">
        <f t="shared" si="13"/>
        <v>#VALUE!</v>
      </c>
      <c r="F55" s="64">
        <f t="shared" si="10"/>
        <v>4136.8319999999967</v>
      </c>
      <c r="G55" s="64">
        <f t="shared" si="11"/>
        <v>4103.6939999999968</v>
      </c>
      <c r="H55" s="96" t="e">
        <f t="shared" si="14"/>
        <v>#VALUE!</v>
      </c>
      <c r="I55" s="96" t="e">
        <f t="shared" si="15"/>
        <v>#VALUE!</v>
      </c>
      <c r="J55" s="55" t="e">
        <f t="shared" si="2"/>
        <v>#VALUE!</v>
      </c>
      <c r="K55" s="97" t="e">
        <f t="shared" si="3"/>
        <v>#VALUE!</v>
      </c>
      <c r="L55" s="92" t="e">
        <f t="shared" si="4"/>
        <v>#VALUE!</v>
      </c>
      <c r="M55" s="98">
        <v>33.137999999999998</v>
      </c>
      <c r="N55" s="98"/>
      <c r="O55" s="55" t="e">
        <f t="shared" si="5"/>
        <v>#VALUE!</v>
      </c>
      <c r="P55" s="93" t="e">
        <f t="shared" si="16"/>
        <v>#VALUE!</v>
      </c>
      <c r="Q55" s="55">
        <f t="shared" si="6"/>
        <v>25.498383478173668</v>
      </c>
      <c r="R55" s="69" t="e">
        <f t="shared" si="7"/>
        <v>#VALUE!</v>
      </c>
      <c r="S55" s="94" t="e">
        <f t="shared" si="8"/>
        <v>#VALUE!</v>
      </c>
      <c r="T55" s="55" t="e">
        <f t="shared" si="17"/>
        <v>#VALUE!</v>
      </c>
      <c r="U55" s="55">
        <f t="shared" si="18"/>
        <v>3.5</v>
      </c>
    </row>
    <row r="56" spans="1:21" ht="15.5" x14ac:dyDescent="0.35">
      <c r="A56" s="95">
        <f t="shared" si="12"/>
        <v>-20</v>
      </c>
      <c r="B56" s="89">
        <f t="shared" si="0"/>
        <v>226.79999999999976</v>
      </c>
      <c r="C56" s="55" t="e">
        <f t="shared" si="20"/>
        <v>#VALUE!</v>
      </c>
      <c r="D56" s="55" t="e">
        <f t="shared" si="19"/>
        <v>#VALUE!</v>
      </c>
      <c r="E56" s="55" t="e">
        <f t="shared" si="13"/>
        <v>#VALUE!</v>
      </c>
      <c r="F56" s="64">
        <f t="shared" si="10"/>
        <v>4103.6939999999968</v>
      </c>
      <c r="G56" s="64">
        <f t="shared" si="11"/>
        <v>4069.5559999999964</v>
      </c>
      <c r="H56" s="96" t="e">
        <f t="shared" si="14"/>
        <v>#VALUE!</v>
      </c>
      <c r="I56" s="96" t="e">
        <f t="shared" si="15"/>
        <v>#VALUE!</v>
      </c>
      <c r="J56" s="55" t="e">
        <f t="shared" si="2"/>
        <v>#VALUE!</v>
      </c>
      <c r="K56" s="97" t="e">
        <f t="shared" si="3"/>
        <v>#VALUE!</v>
      </c>
      <c r="L56" s="92" t="e">
        <f t="shared" si="4"/>
        <v>#VALUE!</v>
      </c>
      <c r="M56" s="98">
        <v>34.137999999999998</v>
      </c>
      <c r="N56" s="98"/>
      <c r="O56" s="55" t="e">
        <f t="shared" si="5"/>
        <v>#VALUE!</v>
      </c>
      <c r="P56" s="93" t="e">
        <f t="shared" si="16"/>
        <v>#VALUE!</v>
      </c>
      <c r="Q56" s="55">
        <f t="shared" si="6"/>
        <v>25.880254249137508</v>
      </c>
      <c r="R56" s="69" t="e">
        <f t="shared" si="7"/>
        <v>#VALUE!</v>
      </c>
      <c r="S56" s="94" t="e">
        <f t="shared" si="8"/>
        <v>#VALUE!</v>
      </c>
      <c r="T56" s="55" t="e">
        <f t="shared" si="17"/>
        <v>#VALUE!</v>
      </c>
      <c r="U56" s="55">
        <f t="shared" si="18"/>
        <v>3.5</v>
      </c>
    </row>
    <row r="57" spans="1:21" ht="15.5" x14ac:dyDescent="0.35">
      <c r="A57" s="95">
        <f t="shared" si="12"/>
        <v>-21</v>
      </c>
      <c r="B57" s="89">
        <f t="shared" si="0"/>
        <v>223.19999999999976</v>
      </c>
      <c r="C57" s="55" t="e">
        <f t="shared" si="20"/>
        <v>#VALUE!</v>
      </c>
      <c r="D57" s="55" t="e">
        <f t="shared" si="19"/>
        <v>#VALUE!</v>
      </c>
      <c r="E57" s="55" t="e">
        <f t="shared" si="13"/>
        <v>#VALUE!</v>
      </c>
      <c r="F57" s="64">
        <f t="shared" si="10"/>
        <v>4069.5559999999964</v>
      </c>
      <c r="G57" s="64">
        <f t="shared" si="11"/>
        <v>4034.4179999999965</v>
      </c>
      <c r="H57" s="96" t="e">
        <f t="shared" si="14"/>
        <v>#VALUE!</v>
      </c>
      <c r="I57" s="96" t="e">
        <f t="shared" si="15"/>
        <v>#VALUE!</v>
      </c>
      <c r="J57" s="55" t="e">
        <f t="shared" si="2"/>
        <v>#VALUE!</v>
      </c>
      <c r="K57" s="97" t="e">
        <f t="shared" si="3"/>
        <v>#VALUE!</v>
      </c>
      <c r="L57" s="92" t="e">
        <f t="shared" si="4"/>
        <v>#VALUE!</v>
      </c>
      <c r="M57" s="98">
        <v>35.137999999999998</v>
      </c>
      <c r="N57" s="98"/>
      <c r="O57" s="55" t="e">
        <f t="shared" si="5"/>
        <v>#VALUE!</v>
      </c>
      <c r="P57" s="93" t="e">
        <f t="shared" si="16"/>
        <v>#VALUE!</v>
      </c>
      <c r="Q57" s="55">
        <f t="shared" si="6"/>
        <v>26.256571748802241</v>
      </c>
      <c r="R57" s="69" t="e">
        <f t="shared" si="7"/>
        <v>#VALUE!</v>
      </c>
      <c r="S57" s="94" t="e">
        <f t="shared" si="8"/>
        <v>#VALUE!</v>
      </c>
      <c r="T57" s="55" t="e">
        <f t="shared" si="17"/>
        <v>#VALUE!</v>
      </c>
      <c r="U57" s="55">
        <f t="shared" si="18"/>
        <v>3.5</v>
      </c>
    </row>
    <row r="58" spans="1:21" ht="15.5" x14ac:dyDescent="0.35">
      <c r="A58" s="95">
        <f t="shared" si="12"/>
        <v>-22</v>
      </c>
      <c r="B58" s="89">
        <f t="shared" si="0"/>
        <v>219.59999999999977</v>
      </c>
      <c r="C58" s="55" t="e">
        <f t="shared" si="20"/>
        <v>#VALUE!</v>
      </c>
      <c r="D58" s="55" t="e">
        <f t="shared" si="19"/>
        <v>#VALUE!</v>
      </c>
      <c r="E58" s="55" t="e">
        <f t="shared" si="13"/>
        <v>#VALUE!</v>
      </c>
      <c r="F58" s="64">
        <f t="shared" si="10"/>
        <v>4034.4179999999965</v>
      </c>
      <c r="G58" s="64">
        <f t="shared" si="11"/>
        <v>3998.2799999999966</v>
      </c>
      <c r="H58" s="96" t="e">
        <f t="shared" si="14"/>
        <v>#VALUE!</v>
      </c>
      <c r="I58" s="96" t="e">
        <f t="shared" si="15"/>
        <v>#VALUE!</v>
      </c>
      <c r="J58" s="55" t="e">
        <f t="shared" si="2"/>
        <v>#VALUE!</v>
      </c>
      <c r="K58" s="97" t="e">
        <f t="shared" si="3"/>
        <v>#VALUE!</v>
      </c>
      <c r="L58" s="92" t="e">
        <f t="shared" si="4"/>
        <v>#VALUE!</v>
      </c>
      <c r="M58" s="98">
        <v>36.137999999999998</v>
      </c>
      <c r="N58" s="98"/>
      <c r="O58" s="55" t="e">
        <f t="shared" si="5"/>
        <v>#VALUE!</v>
      </c>
      <c r="P58" s="93" t="e">
        <f t="shared" si="16"/>
        <v>#VALUE!</v>
      </c>
      <c r="Q58" s="55">
        <f t="shared" si="6"/>
        <v>26.627571425122493</v>
      </c>
      <c r="R58" s="69" t="e">
        <f t="shared" si="7"/>
        <v>#VALUE!</v>
      </c>
      <c r="S58" s="94" t="e">
        <f t="shared" si="8"/>
        <v>#VALUE!</v>
      </c>
      <c r="T58" s="55" t="e">
        <f t="shared" si="17"/>
        <v>#VALUE!</v>
      </c>
      <c r="U58" s="55">
        <f t="shared" si="18"/>
        <v>3.5</v>
      </c>
    </row>
    <row r="59" spans="1:21" ht="15.5" x14ac:dyDescent="0.35">
      <c r="A59" s="95">
        <f t="shared" si="12"/>
        <v>-23</v>
      </c>
      <c r="B59" s="89">
        <f t="shared" si="0"/>
        <v>215.99999999999977</v>
      </c>
      <c r="C59" s="55" t="e">
        <f t="shared" si="20"/>
        <v>#VALUE!</v>
      </c>
      <c r="D59" s="55" t="e">
        <f t="shared" si="19"/>
        <v>#VALUE!</v>
      </c>
      <c r="E59" s="55" t="e">
        <f t="shared" si="13"/>
        <v>#VALUE!</v>
      </c>
      <c r="F59" s="64">
        <f t="shared" si="10"/>
        <v>3998.2799999999966</v>
      </c>
      <c r="G59" s="64">
        <f t="shared" si="11"/>
        <v>3961.1419999999966</v>
      </c>
      <c r="H59" s="96" t="e">
        <f t="shared" si="14"/>
        <v>#VALUE!</v>
      </c>
      <c r="I59" s="96" t="e">
        <f t="shared" si="15"/>
        <v>#VALUE!</v>
      </c>
      <c r="J59" s="55" t="e">
        <f t="shared" si="2"/>
        <v>#VALUE!</v>
      </c>
      <c r="K59" s="97" t="e">
        <f t="shared" si="3"/>
        <v>#VALUE!</v>
      </c>
      <c r="L59" s="92" t="e">
        <f t="shared" si="4"/>
        <v>#VALUE!</v>
      </c>
      <c r="M59" s="98">
        <v>37.137999999999998</v>
      </c>
      <c r="N59" s="98"/>
      <c r="O59" s="55" t="e">
        <f t="shared" si="5"/>
        <v>#VALUE!</v>
      </c>
      <c r="P59" s="93" t="e">
        <f t="shared" si="16"/>
        <v>#VALUE!</v>
      </c>
      <c r="Q59" s="55">
        <f t="shared" si="6"/>
        <v>26.993472544302261</v>
      </c>
      <c r="R59" s="69" t="e">
        <f t="shared" si="7"/>
        <v>#VALUE!</v>
      </c>
      <c r="S59" s="94" t="e">
        <f t="shared" si="8"/>
        <v>#VALUE!</v>
      </c>
      <c r="T59" s="55" t="e">
        <f t="shared" si="17"/>
        <v>#VALUE!</v>
      </c>
      <c r="U59" s="55">
        <f t="shared" si="18"/>
        <v>3.5</v>
      </c>
    </row>
    <row r="60" spans="1:21" ht="15.5" x14ac:dyDescent="0.35">
      <c r="A60" s="95">
        <f t="shared" si="12"/>
        <v>-24</v>
      </c>
      <c r="B60" s="89">
        <f t="shared" si="0"/>
        <v>212.39999999999978</v>
      </c>
      <c r="C60" s="55" t="e">
        <f t="shared" si="20"/>
        <v>#VALUE!</v>
      </c>
      <c r="D60" s="55" t="e">
        <f t="shared" si="19"/>
        <v>#VALUE!</v>
      </c>
      <c r="E60" s="55" t="e">
        <f t="shared" si="13"/>
        <v>#VALUE!</v>
      </c>
      <c r="F60" s="64">
        <f t="shared" si="10"/>
        <v>3961.1419999999966</v>
      </c>
      <c r="G60" s="64">
        <f t="shared" si="11"/>
        <v>3923.0039999999967</v>
      </c>
      <c r="H60" s="96" t="e">
        <f t="shared" si="14"/>
        <v>#VALUE!</v>
      </c>
      <c r="I60" s="96" t="e">
        <f t="shared" si="15"/>
        <v>#VALUE!</v>
      </c>
      <c r="J60" s="55" t="e">
        <f t="shared" si="2"/>
        <v>#VALUE!</v>
      </c>
      <c r="K60" s="97" t="e">
        <f t="shared" si="3"/>
        <v>#VALUE!</v>
      </c>
      <c r="L60" s="92" t="e">
        <f t="shared" si="4"/>
        <v>#VALUE!</v>
      </c>
      <c r="M60" s="98">
        <v>38.137999999999998</v>
      </c>
      <c r="N60" s="98"/>
      <c r="O60" s="55" t="e">
        <f t="shared" si="5"/>
        <v>#VALUE!</v>
      </c>
      <c r="P60" s="93" t="e">
        <f t="shared" si="16"/>
        <v>#VALUE!</v>
      </c>
      <c r="Q60" s="55">
        <f t="shared" si="6"/>
        <v>27.354479706256523</v>
      </c>
      <c r="R60" s="69" t="e">
        <f t="shared" si="7"/>
        <v>#VALUE!</v>
      </c>
      <c r="S60" s="94" t="e">
        <f t="shared" si="8"/>
        <v>#VALUE!</v>
      </c>
      <c r="T60" s="55" t="e">
        <f t="shared" si="17"/>
        <v>#VALUE!</v>
      </c>
      <c r="U60" s="55">
        <f t="shared" si="18"/>
        <v>3.5</v>
      </c>
    </row>
    <row r="61" spans="1:21" ht="15.5" x14ac:dyDescent="0.35">
      <c r="A61" s="95">
        <f t="shared" si="12"/>
        <v>-25</v>
      </c>
      <c r="B61" s="89">
        <f t="shared" si="0"/>
        <v>208.79999999999978</v>
      </c>
      <c r="C61" s="55" t="e">
        <f t="shared" si="20"/>
        <v>#VALUE!</v>
      </c>
      <c r="D61" s="55" t="e">
        <f t="shared" si="19"/>
        <v>#VALUE!</v>
      </c>
      <c r="E61" s="55" t="e">
        <f t="shared" si="13"/>
        <v>#VALUE!</v>
      </c>
      <c r="F61" s="64">
        <f t="shared" si="10"/>
        <v>3923.0039999999967</v>
      </c>
      <c r="G61" s="64">
        <f t="shared" si="11"/>
        <v>3883.8659999999968</v>
      </c>
      <c r="H61" s="96" t="e">
        <f t="shared" si="14"/>
        <v>#VALUE!</v>
      </c>
      <c r="I61" s="96" t="e">
        <f t="shared" si="15"/>
        <v>#VALUE!</v>
      </c>
      <c r="J61" s="55" t="e">
        <f t="shared" si="2"/>
        <v>#VALUE!</v>
      </c>
      <c r="K61" s="97" t="e">
        <f t="shared" si="3"/>
        <v>#VALUE!</v>
      </c>
      <c r="L61" s="92" t="e">
        <f t="shared" si="4"/>
        <v>#VALUE!</v>
      </c>
      <c r="M61" s="98">
        <v>39.137999999999998</v>
      </c>
      <c r="N61" s="98"/>
      <c r="O61" s="55" t="e">
        <f t="shared" si="5"/>
        <v>#VALUE!</v>
      </c>
      <c r="P61" s="93" t="e">
        <f t="shared" si="16"/>
        <v>#VALUE!</v>
      </c>
      <c r="Q61" s="55">
        <f t="shared" si="6"/>
        <v>27.710784182335946</v>
      </c>
      <c r="R61" s="69" t="e">
        <f t="shared" si="7"/>
        <v>#VALUE!</v>
      </c>
      <c r="S61" s="94" t="e">
        <f t="shared" si="8"/>
        <v>#VALUE!</v>
      </c>
      <c r="T61" s="55" t="e">
        <f t="shared" si="17"/>
        <v>#VALUE!</v>
      </c>
      <c r="U61" s="55">
        <f t="shared" si="18"/>
        <v>3.5</v>
      </c>
    </row>
    <row r="62" spans="1:21" ht="15.5" x14ac:dyDescent="0.35">
      <c r="A62" s="95">
        <f t="shared" si="12"/>
        <v>-26</v>
      </c>
      <c r="B62" s="89">
        <f t="shared" si="0"/>
        <v>205.19999999999979</v>
      </c>
      <c r="C62" s="55" t="e">
        <f t="shared" si="20"/>
        <v>#VALUE!</v>
      </c>
      <c r="D62" s="55" t="e">
        <f t="shared" si="19"/>
        <v>#VALUE!</v>
      </c>
      <c r="E62" s="55" t="e">
        <f t="shared" si="13"/>
        <v>#VALUE!</v>
      </c>
      <c r="F62" s="64">
        <f t="shared" si="10"/>
        <v>3883.8659999999968</v>
      </c>
      <c r="G62" s="64">
        <f t="shared" si="11"/>
        <v>3843.7279999999969</v>
      </c>
      <c r="H62" s="96" t="e">
        <f t="shared" si="14"/>
        <v>#VALUE!</v>
      </c>
      <c r="I62" s="96" t="e">
        <f t="shared" si="15"/>
        <v>#VALUE!</v>
      </c>
      <c r="J62" s="55" t="e">
        <f t="shared" si="2"/>
        <v>#VALUE!</v>
      </c>
      <c r="K62" s="97" t="e">
        <f t="shared" si="3"/>
        <v>#VALUE!</v>
      </c>
      <c r="L62" s="92" t="e">
        <f t="shared" si="4"/>
        <v>#VALUE!</v>
      </c>
      <c r="M62" s="98">
        <v>40.137999999999998</v>
      </c>
      <c r="N62" s="98"/>
      <c r="O62" s="55" t="e">
        <f t="shared" si="5"/>
        <v>#VALUE!</v>
      </c>
      <c r="P62" s="93" t="e">
        <f t="shared" si="16"/>
        <v>#VALUE!</v>
      </c>
      <c r="Q62" s="55">
        <f t="shared" si="6"/>
        <v>28.062565100147207</v>
      </c>
      <c r="R62" s="69" t="e">
        <f t="shared" si="7"/>
        <v>#VALUE!</v>
      </c>
      <c r="S62" s="94" t="e">
        <f t="shared" si="8"/>
        <v>#VALUE!</v>
      </c>
      <c r="T62" s="55" t="e">
        <f t="shared" si="17"/>
        <v>#VALUE!</v>
      </c>
      <c r="U62" s="55">
        <f t="shared" si="18"/>
        <v>3.5</v>
      </c>
    </row>
    <row r="63" spans="1:21" ht="15.5" x14ac:dyDescent="0.35">
      <c r="A63" s="95">
        <f t="shared" si="12"/>
        <v>-27</v>
      </c>
      <c r="B63" s="89">
        <f t="shared" si="0"/>
        <v>201.5999999999998</v>
      </c>
      <c r="C63" s="55" t="e">
        <f t="shared" si="20"/>
        <v>#VALUE!</v>
      </c>
      <c r="D63" s="55" t="e">
        <f t="shared" si="19"/>
        <v>#VALUE!</v>
      </c>
      <c r="E63" s="55" t="e">
        <f t="shared" si="13"/>
        <v>#VALUE!</v>
      </c>
      <c r="F63" s="64">
        <f t="shared" si="10"/>
        <v>3843.7279999999969</v>
      </c>
      <c r="G63" s="64">
        <f t="shared" si="11"/>
        <v>3802.589999999997</v>
      </c>
      <c r="H63" s="96" t="e">
        <f t="shared" si="14"/>
        <v>#VALUE!</v>
      </c>
      <c r="I63" s="96" t="e">
        <f t="shared" si="15"/>
        <v>#VALUE!</v>
      </c>
      <c r="J63" s="55" t="e">
        <f t="shared" si="2"/>
        <v>#VALUE!</v>
      </c>
      <c r="K63" s="97" t="e">
        <f t="shared" si="3"/>
        <v>#VALUE!</v>
      </c>
      <c r="L63" s="92" t="e">
        <f t="shared" si="4"/>
        <v>#VALUE!</v>
      </c>
      <c r="M63" s="98">
        <v>41.137999999999998</v>
      </c>
      <c r="N63" s="98"/>
      <c r="O63" s="55" t="e">
        <f t="shared" si="5"/>
        <v>#VALUE!</v>
      </c>
      <c r="P63" s="93" t="e">
        <f t="shared" si="16"/>
        <v>#VALUE!</v>
      </c>
      <c r="Q63" s="55">
        <f t="shared" si="6"/>
        <v>28.40999049630253</v>
      </c>
      <c r="R63" s="69" t="e">
        <f t="shared" si="7"/>
        <v>#VALUE!</v>
      </c>
      <c r="S63" s="94" t="e">
        <f t="shared" si="8"/>
        <v>#VALUE!</v>
      </c>
      <c r="T63" s="55" t="e">
        <f t="shared" si="17"/>
        <v>#VALUE!</v>
      </c>
      <c r="U63" s="55">
        <f t="shared" si="18"/>
        <v>3.5</v>
      </c>
    </row>
    <row r="64" spans="1:21" ht="15.5" x14ac:dyDescent="0.35">
      <c r="A64" s="95">
        <f t="shared" si="12"/>
        <v>-28</v>
      </c>
      <c r="B64" s="89">
        <f t="shared" si="0"/>
        <v>197.9999999999998</v>
      </c>
      <c r="C64" s="55" t="e">
        <f t="shared" si="20"/>
        <v>#VALUE!</v>
      </c>
      <c r="D64" s="55" t="e">
        <f t="shared" si="19"/>
        <v>#VALUE!</v>
      </c>
      <c r="E64" s="55" t="e">
        <f t="shared" si="13"/>
        <v>#VALUE!</v>
      </c>
      <c r="F64" s="64">
        <f t="shared" si="10"/>
        <v>3802.589999999997</v>
      </c>
      <c r="G64" s="64">
        <f t="shared" si="11"/>
        <v>3760.451999999997</v>
      </c>
      <c r="H64" s="96" t="e">
        <f t="shared" si="14"/>
        <v>#VALUE!</v>
      </c>
      <c r="I64" s="96" t="e">
        <f t="shared" si="15"/>
        <v>#VALUE!</v>
      </c>
      <c r="J64" s="55" t="e">
        <f t="shared" si="2"/>
        <v>#VALUE!</v>
      </c>
      <c r="K64" s="97" t="e">
        <f t="shared" si="3"/>
        <v>#VALUE!</v>
      </c>
      <c r="L64" s="92" t="e">
        <f t="shared" si="4"/>
        <v>#VALUE!</v>
      </c>
      <c r="M64" s="98">
        <v>42.137999999999998</v>
      </c>
      <c r="N64" s="98"/>
      <c r="O64" s="55" t="e">
        <f t="shared" si="5"/>
        <v>#VALUE!</v>
      </c>
      <c r="P64" s="93" t="e">
        <f t="shared" si="16"/>
        <v>#VALUE!</v>
      </c>
      <c r="Q64" s="55">
        <f t="shared" si="6"/>
        <v>28.753218254658034</v>
      </c>
      <c r="R64" s="69" t="e">
        <f t="shared" si="7"/>
        <v>#VALUE!</v>
      </c>
      <c r="S64" s="94" t="e">
        <f t="shared" si="8"/>
        <v>#VALUE!</v>
      </c>
      <c r="T64" s="55" t="e">
        <f t="shared" si="17"/>
        <v>#VALUE!</v>
      </c>
      <c r="U64" s="55">
        <f t="shared" si="18"/>
        <v>3.5</v>
      </c>
    </row>
    <row r="65" spans="1:21" ht="15.5" x14ac:dyDescent="0.35">
      <c r="A65" s="95">
        <f t="shared" si="12"/>
        <v>-29</v>
      </c>
      <c r="B65" s="89">
        <f t="shared" si="0"/>
        <v>194.39999999999981</v>
      </c>
      <c r="C65" s="55" t="e">
        <f t="shared" si="20"/>
        <v>#VALUE!</v>
      </c>
      <c r="D65" s="55" t="e">
        <f t="shared" si="19"/>
        <v>#VALUE!</v>
      </c>
      <c r="E65" s="55" t="e">
        <f t="shared" si="13"/>
        <v>#VALUE!</v>
      </c>
      <c r="F65" s="64">
        <f t="shared" si="10"/>
        <v>3760.451999999997</v>
      </c>
      <c r="G65" s="64">
        <f t="shared" si="11"/>
        <v>3717.3139999999971</v>
      </c>
      <c r="H65" s="96" t="e">
        <f t="shared" si="14"/>
        <v>#VALUE!</v>
      </c>
      <c r="I65" s="96" t="e">
        <f t="shared" si="15"/>
        <v>#VALUE!</v>
      </c>
      <c r="J65" s="55" t="e">
        <f t="shared" si="2"/>
        <v>#VALUE!</v>
      </c>
      <c r="K65" s="97" t="e">
        <f t="shared" si="3"/>
        <v>#VALUE!</v>
      </c>
      <c r="L65" s="92" t="e">
        <f t="shared" si="4"/>
        <v>#VALUE!</v>
      </c>
      <c r="M65" s="98">
        <v>43.137999999999998</v>
      </c>
      <c r="N65" s="98"/>
      <c r="O65" s="55" t="e">
        <f t="shared" si="5"/>
        <v>#VALUE!</v>
      </c>
      <c r="P65" s="93" t="e">
        <f t="shared" si="16"/>
        <v>#VALUE!</v>
      </c>
      <c r="Q65" s="55">
        <f t="shared" si="6"/>
        <v>29.092396944906415</v>
      </c>
      <c r="R65" s="69" t="e">
        <f t="shared" si="7"/>
        <v>#VALUE!</v>
      </c>
      <c r="S65" s="94" t="e">
        <f t="shared" si="8"/>
        <v>#VALUE!</v>
      </c>
      <c r="T65" s="55" t="e">
        <f t="shared" si="17"/>
        <v>#VALUE!</v>
      </c>
      <c r="U65" s="55">
        <f t="shared" si="18"/>
        <v>3.5</v>
      </c>
    </row>
    <row r="66" spans="1:21" ht="15.5" x14ac:dyDescent="0.35">
      <c r="A66" s="95">
        <f t="shared" si="12"/>
        <v>-30</v>
      </c>
      <c r="B66" s="89">
        <f t="shared" si="0"/>
        <v>190.79999999999981</v>
      </c>
      <c r="C66" s="55" t="e">
        <f t="shared" si="20"/>
        <v>#VALUE!</v>
      </c>
      <c r="D66" s="55" t="e">
        <f t="shared" si="19"/>
        <v>#VALUE!</v>
      </c>
      <c r="E66" s="55" t="e">
        <f t="shared" si="13"/>
        <v>#VALUE!</v>
      </c>
      <c r="F66" s="64">
        <f t="shared" si="10"/>
        <v>3717.3139999999971</v>
      </c>
      <c r="G66" s="64">
        <f t="shared" si="11"/>
        <v>3673.1759999999972</v>
      </c>
      <c r="H66" s="96" t="e">
        <f t="shared" si="14"/>
        <v>#VALUE!</v>
      </c>
      <c r="I66" s="96" t="e">
        <f t="shared" si="15"/>
        <v>#VALUE!</v>
      </c>
      <c r="J66" s="55" t="e">
        <f t="shared" si="2"/>
        <v>#VALUE!</v>
      </c>
      <c r="K66" s="97" t="e">
        <f t="shared" si="3"/>
        <v>#VALUE!</v>
      </c>
      <c r="L66" s="92" t="e">
        <f t="shared" si="4"/>
        <v>#VALUE!</v>
      </c>
      <c r="M66" s="98">
        <v>44.137999999999998</v>
      </c>
      <c r="N66" s="98"/>
      <c r="O66" s="55" t="e">
        <f t="shared" si="5"/>
        <v>#VALUE!</v>
      </c>
      <c r="P66" s="93" t="e">
        <f t="shared" si="16"/>
        <v>#VALUE!</v>
      </c>
      <c r="Q66" s="55">
        <f t="shared" si="6"/>
        <v>29.427666574161126</v>
      </c>
      <c r="R66" s="69" t="e">
        <f t="shared" si="7"/>
        <v>#VALUE!</v>
      </c>
      <c r="S66" s="94" t="e">
        <f t="shared" si="8"/>
        <v>#VALUE!</v>
      </c>
      <c r="T66" s="55" t="e">
        <f t="shared" si="17"/>
        <v>#VALUE!</v>
      </c>
      <c r="U66" s="55">
        <f t="shared" si="18"/>
        <v>3.5</v>
      </c>
    </row>
    <row r="67" spans="1:21" ht="15.5" x14ac:dyDescent="0.35">
      <c r="A67" s="95">
        <f t="shared" si="12"/>
        <v>-31</v>
      </c>
      <c r="B67" s="89">
        <f t="shared" si="0"/>
        <v>187.19999999999982</v>
      </c>
      <c r="C67" s="55" t="e">
        <f t="shared" si="20"/>
        <v>#VALUE!</v>
      </c>
      <c r="D67" s="55" t="e">
        <f t="shared" si="19"/>
        <v>#VALUE!</v>
      </c>
      <c r="E67" s="55" t="e">
        <f t="shared" si="13"/>
        <v>#VALUE!</v>
      </c>
      <c r="F67" s="64">
        <f t="shared" si="10"/>
        <v>3673.1759999999972</v>
      </c>
      <c r="G67" s="64">
        <f t="shared" si="11"/>
        <v>3628.0379999999973</v>
      </c>
      <c r="H67" s="96" t="e">
        <f t="shared" si="14"/>
        <v>#VALUE!</v>
      </c>
      <c r="I67" s="96" t="e">
        <f t="shared" si="15"/>
        <v>#VALUE!</v>
      </c>
      <c r="J67" s="55" t="e">
        <f t="shared" si="2"/>
        <v>#VALUE!</v>
      </c>
      <c r="K67" s="97" t="e">
        <f t="shared" si="3"/>
        <v>#VALUE!</v>
      </c>
      <c r="L67" s="92" t="e">
        <f t="shared" si="4"/>
        <v>#VALUE!</v>
      </c>
      <c r="M67" s="98">
        <v>45.137999999999998</v>
      </c>
      <c r="N67" s="98"/>
      <c r="O67" s="55" t="e">
        <f t="shared" si="5"/>
        <v>#VALUE!</v>
      </c>
      <c r="P67" s="93" t="e">
        <f t="shared" si="16"/>
        <v>#VALUE!</v>
      </c>
      <c r="Q67" s="55">
        <f t="shared" si="6"/>
        <v>29.75915926231788</v>
      </c>
      <c r="R67" s="69" t="e">
        <f t="shared" si="7"/>
        <v>#VALUE!</v>
      </c>
      <c r="S67" s="94" t="e">
        <f t="shared" si="8"/>
        <v>#VALUE!</v>
      </c>
      <c r="T67" s="55" t="e">
        <f t="shared" si="17"/>
        <v>#VALUE!</v>
      </c>
      <c r="U67" s="55">
        <f t="shared" si="18"/>
        <v>3.5</v>
      </c>
    </row>
    <row r="68" spans="1:21" ht="15.5" x14ac:dyDescent="0.35">
      <c r="A68" s="95">
        <f t="shared" si="12"/>
        <v>-32</v>
      </c>
      <c r="B68" s="89">
        <f t="shared" si="0"/>
        <v>183.59999999999982</v>
      </c>
      <c r="C68" s="55" t="e">
        <f t="shared" si="20"/>
        <v>#VALUE!</v>
      </c>
      <c r="D68" s="55" t="e">
        <f t="shared" si="19"/>
        <v>#VALUE!</v>
      </c>
      <c r="E68" s="55" t="e">
        <f t="shared" si="13"/>
        <v>#VALUE!</v>
      </c>
      <c r="F68" s="64">
        <f t="shared" si="10"/>
        <v>3628.0379999999973</v>
      </c>
      <c r="G68" s="64">
        <f t="shared" si="11"/>
        <v>3581.8999999999974</v>
      </c>
      <c r="H68" s="96" t="e">
        <f t="shared" si="14"/>
        <v>#VALUE!</v>
      </c>
      <c r="I68" s="96" t="e">
        <f t="shared" si="15"/>
        <v>#VALUE!</v>
      </c>
      <c r="J68" s="55" t="e">
        <f t="shared" si="2"/>
        <v>#VALUE!</v>
      </c>
      <c r="K68" s="97" t="e">
        <f t="shared" si="3"/>
        <v>#VALUE!</v>
      </c>
      <c r="L68" s="92" t="e">
        <f t="shared" si="4"/>
        <v>#VALUE!</v>
      </c>
      <c r="M68" s="98">
        <v>46.137999999999998</v>
      </c>
      <c r="N68" s="98"/>
      <c r="O68" s="55" t="e">
        <f t="shared" si="5"/>
        <v>#VALUE!</v>
      </c>
      <c r="P68" s="93" t="e">
        <f t="shared" si="16"/>
        <v>#VALUE!</v>
      </c>
      <c r="Q68" s="55">
        <f t="shared" si="6"/>
        <v>30.086999850433742</v>
      </c>
      <c r="R68" s="69" t="e">
        <f t="shared" si="7"/>
        <v>#VALUE!</v>
      </c>
      <c r="S68" s="94" t="e">
        <f t="shared" si="8"/>
        <v>#VALUE!</v>
      </c>
      <c r="T68" s="55" t="e">
        <f t="shared" si="17"/>
        <v>#VALUE!</v>
      </c>
      <c r="U68" s="55">
        <f t="shared" si="18"/>
        <v>3.5</v>
      </c>
    </row>
    <row r="69" spans="1:21" ht="15.5" x14ac:dyDescent="0.35">
      <c r="A69" s="95">
        <f t="shared" si="12"/>
        <v>-33</v>
      </c>
      <c r="B69" s="89">
        <f t="shared" si="0"/>
        <v>179.99999999999983</v>
      </c>
      <c r="C69" s="55" t="e">
        <f t="shared" si="20"/>
        <v>#VALUE!</v>
      </c>
      <c r="D69" s="55" t="e">
        <f t="shared" si="19"/>
        <v>#VALUE!</v>
      </c>
      <c r="E69" s="55" t="e">
        <f t="shared" si="13"/>
        <v>#VALUE!</v>
      </c>
      <c r="F69" s="64">
        <f t="shared" si="10"/>
        <v>3581.8999999999974</v>
      </c>
      <c r="G69" s="64">
        <f t="shared" si="11"/>
        <v>3534.7619999999974</v>
      </c>
      <c r="H69" s="96" t="e">
        <f t="shared" si="14"/>
        <v>#VALUE!</v>
      </c>
      <c r="I69" s="96" t="e">
        <f t="shared" si="15"/>
        <v>#VALUE!</v>
      </c>
      <c r="J69" s="55" t="e">
        <f t="shared" si="2"/>
        <v>#VALUE!</v>
      </c>
      <c r="K69" s="97" t="e">
        <f t="shared" si="3"/>
        <v>#VALUE!</v>
      </c>
      <c r="L69" s="92" t="e">
        <f t="shared" si="4"/>
        <v>#VALUE!</v>
      </c>
      <c r="M69" s="98">
        <v>47.137999999999998</v>
      </c>
      <c r="N69" s="98"/>
      <c r="O69" s="55" t="e">
        <f t="shared" si="5"/>
        <v>#VALUE!</v>
      </c>
      <c r="P69" s="93" t="e">
        <f t="shared" si="16"/>
        <v>#VALUE!</v>
      </c>
      <c r="Q69" s="55">
        <f t="shared" si="6"/>
        <v>30.411306450068864</v>
      </c>
      <c r="R69" s="69" t="e">
        <f t="shared" si="7"/>
        <v>#VALUE!</v>
      </c>
      <c r="S69" s="94" t="e">
        <f t="shared" si="8"/>
        <v>#VALUE!</v>
      </c>
      <c r="T69" s="55" t="e">
        <f t="shared" si="17"/>
        <v>#VALUE!</v>
      </c>
      <c r="U69" s="55">
        <f t="shared" si="18"/>
        <v>3.5</v>
      </c>
    </row>
    <row r="70" spans="1:21" ht="15.5" x14ac:dyDescent="0.35">
      <c r="A70" s="95">
        <f t="shared" si="12"/>
        <v>-34</v>
      </c>
      <c r="B70" s="89">
        <f t="shared" si="0"/>
        <v>176.39999999999984</v>
      </c>
      <c r="C70" s="55" t="e">
        <f t="shared" si="20"/>
        <v>#VALUE!</v>
      </c>
      <c r="D70" s="55" t="e">
        <f t="shared" si="19"/>
        <v>#VALUE!</v>
      </c>
      <c r="E70" s="55" t="e">
        <f t="shared" si="13"/>
        <v>#VALUE!</v>
      </c>
      <c r="F70" s="64">
        <f t="shared" si="10"/>
        <v>3534.7619999999974</v>
      </c>
      <c r="G70" s="64">
        <f t="shared" si="11"/>
        <v>3486.6239999999975</v>
      </c>
      <c r="H70" s="96" t="e">
        <f t="shared" si="14"/>
        <v>#VALUE!</v>
      </c>
      <c r="I70" s="96" t="e">
        <f t="shared" si="15"/>
        <v>#VALUE!</v>
      </c>
      <c r="J70" s="55" t="e">
        <f t="shared" si="2"/>
        <v>#VALUE!</v>
      </c>
      <c r="K70" s="97" t="e">
        <f t="shared" si="3"/>
        <v>#VALUE!</v>
      </c>
      <c r="L70" s="92" t="e">
        <f t="shared" si="4"/>
        <v>#VALUE!</v>
      </c>
      <c r="M70" s="98">
        <v>48.137999999999998</v>
      </c>
      <c r="N70" s="98"/>
      <c r="O70" s="55" t="e">
        <f t="shared" si="5"/>
        <v>#VALUE!</v>
      </c>
      <c r="P70" s="93" t="e">
        <f t="shared" si="16"/>
        <v>#VALUE!</v>
      </c>
      <c r="Q70" s="55">
        <f t="shared" si="6"/>
        <v>30.732190940445495</v>
      </c>
      <c r="R70" s="69" t="e">
        <f t="shared" si="7"/>
        <v>#VALUE!</v>
      </c>
      <c r="S70" s="94" t="e">
        <f t="shared" si="8"/>
        <v>#VALUE!</v>
      </c>
      <c r="T70" s="55" t="e">
        <f t="shared" si="17"/>
        <v>#VALUE!</v>
      </c>
      <c r="U70" s="55">
        <f t="shared" si="18"/>
        <v>3.5</v>
      </c>
    </row>
    <row r="71" spans="1:21" ht="15.5" x14ac:dyDescent="0.35">
      <c r="A71" s="95">
        <f t="shared" si="12"/>
        <v>-35</v>
      </c>
      <c r="B71" s="89">
        <f t="shared" si="0"/>
        <v>172.79999999999984</v>
      </c>
      <c r="C71" s="55" t="e">
        <f t="shared" si="20"/>
        <v>#VALUE!</v>
      </c>
      <c r="D71" s="55" t="e">
        <f t="shared" si="19"/>
        <v>#VALUE!</v>
      </c>
      <c r="E71" s="55" t="e">
        <f t="shared" si="13"/>
        <v>#VALUE!</v>
      </c>
      <c r="F71" s="64">
        <f t="shared" si="10"/>
        <v>3486.6239999999975</v>
      </c>
      <c r="G71" s="64">
        <f t="shared" si="11"/>
        <v>3437.4859999999976</v>
      </c>
      <c r="H71" s="96" t="e">
        <f t="shared" si="14"/>
        <v>#VALUE!</v>
      </c>
      <c r="I71" s="96" t="e">
        <f t="shared" si="15"/>
        <v>#VALUE!</v>
      </c>
      <c r="J71" s="55" t="e">
        <f t="shared" si="2"/>
        <v>#VALUE!</v>
      </c>
      <c r="K71" s="97" t="e">
        <f t="shared" si="3"/>
        <v>#VALUE!</v>
      </c>
      <c r="L71" s="92" t="e">
        <f t="shared" si="4"/>
        <v>#VALUE!</v>
      </c>
      <c r="M71" s="98">
        <v>49.137999999999998</v>
      </c>
      <c r="N71" s="98"/>
      <c r="O71" s="55" t="e">
        <f t="shared" si="5"/>
        <v>#VALUE!</v>
      </c>
      <c r="P71" s="93" t="e">
        <f t="shared" si="16"/>
        <v>#VALUE!</v>
      </c>
      <c r="Q71" s="55">
        <f t="shared" si="6"/>
        <v>31.049759419357827</v>
      </c>
      <c r="R71" s="69" t="e">
        <f t="shared" si="7"/>
        <v>#VALUE!</v>
      </c>
      <c r="S71" s="94" t="e">
        <f t="shared" si="8"/>
        <v>#VALUE!</v>
      </c>
      <c r="T71" s="55" t="e">
        <f t="shared" si="17"/>
        <v>#VALUE!</v>
      </c>
      <c r="U71" s="55">
        <f t="shared" si="18"/>
        <v>3.5</v>
      </c>
    </row>
    <row r="72" spans="1:21" ht="15.5" x14ac:dyDescent="0.35">
      <c r="A72" s="95">
        <f t="shared" si="12"/>
        <v>-36</v>
      </c>
      <c r="B72" s="89">
        <f t="shared" si="0"/>
        <v>169.19999999999985</v>
      </c>
      <c r="C72" s="55" t="e">
        <f t="shared" si="20"/>
        <v>#VALUE!</v>
      </c>
      <c r="D72" s="55" t="e">
        <f t="shared" si="19"/>
        <v>#VALUE!</v>
      </c>
      <c r="E72" s="55" t="e">
        <f t="shared" si="13"/>
        <v>#VALUE!</v>
      </c>
      <c r="F72" s="64">
        <f t="shared" si="10"/>
        <v>3437.4859999999976</v>
      </c>
      <c r="G72" s="64">
        <f t="shared" si="11"/>
        <v>3387.3479999999977</v>
      </c>
      <c r="H72" s="96" t="e">
        <f t="shared" si="14"/>
        <v>#VALUE!</v>
      </c>
      <c r="I72" s="96" t="e">
        <f t="shared" si="15"/>
        <v>#VALUE!</v>
      </c>
      <c r="J72" s="55" t="e">
        <f t="shared" si="2"/>
        <v>#VALUE!</v>
      </c>
      <c r="K72" s="97" t="e">
        <f t="shared" si="3"/>
        <v>#VALUE!</v>
      </c>
      <c r="L72" s="92" t="e">
        <f t="shared" si="4"/>
        <v>#VALUE!</v>
      </c>
      <c r="M72" s="98">
        <v>50.137999999999998</v>
      </c>
      <c r="N72" s="98"/>
      <c r="O72" s="55" t="e">
        <f t="shared" si="5"/>
        <v>#VALUE!</v>
      </c>
      <c r="P72" s="93" t="e">
        <f t="shared" si="16"/>
        <v>#VALUE!</v>
      </c>
      <c r="Q72" s="55">
        <f t="shared" si="6"/>
        <v>31.364112612984925</v>
      </c>
      <c r="R72" s="69" t="e">
        <f t="shared" si="7"/>
        <v>#VALUE!</v>
      </c>
      <c r="S72" s="94" t="e">
        <f t="shared" si="8"/>
        <v>#VALUE!</v>
      </c>
      <c r="T72" s="55" t="e">
        <f t="shared" si="17"/>
        <v>#VALUE!</v>
      </c>
      <c r="U72" s="55">
        <f t="shared" si="18"/>
        <v>3.5</v>
      </c>
    </row>
    <row r="73" spans="1:21" ht="15.5" x14ac:dyDescent="0.35">
      <c r="A73" s="95">
        <f t="shared" si="12"/>
        <v>-37</v>
      </c>
      <c r="B73" s="89">
        <f t="shared" si="0"/>
        <v>165.59999999999985</v>
      </c>
      <c r="C73" s="55" t="e">
        <f t="shared" si="20"/>
        <v>#VALUE!</v>
      </c>
      <c r="D73" s="55" t="e">
        <f t="shared" si="19"/>
        <v>#VALUE!</v>
      </c>
      <c r="E73" s="55" t="e">
        <f t="shared" si="13"/>
        <v>#VALUE!</v>
      </c>
      <c r="F73" s="64">
        <f t="shared" si="10"/>
        <v>3387.3479999999977</v>
      </c>
      <c r="G73" s="64">
        <f t="shared" si="11"/>
        <v>3336.2099999999978</v>
      </c>
      <c r="H73" s="96" t="e">
        <f t="shared" si="14"/>
        <v>#VALUE!</v>
      </c>
      <c r="I73" s="96" t="e">
        <f t="shared" si="15"/>
        <v>#VALUE!</v>
      </c>
      <c r="J73" s="55" t="e">
        <f t="shared" si="2"/>
        <v>#VALUE!</v>
      </c>
      <c r="K73" s="97" t="e">
        <f t="shared" si="3"/>
        <v>#VALUE!</v>
      </c>
      <c r="L73" s="92" t="e">
        <f t="shared" si="4"/>
        <v>#VALUE!</v>
      </c>
      <c r="M73" s="98">
        <v>51.137999999999998</v>
      </c>
      <c r="N73" s="98"/>
      <c r="O73" s="55" t="e">
        <f t="shared" si="5"/>
        <v>#VALUE!</v>
      </c>
      <c r="P73" s="93" t="e">
        <f t="shared" si="16"/>
        <v>#VALUE!</v>
      </c>
      <c r="Q73" s="55">
        <f t="shared" si="6"/>
        <v>31.675346249094105</v>
      </c>
      <c r="R73" s="69" t="e">
        <f t="shared" si="7"/>
        <v>#VALUE!</v>
      </c>
      <c r="S73" s="94" t="e">
        <f t="shared" si="8"/>
        <v>#VALUE!</v>
      </c>
      <c r="T73" s="55" t="e">
        <f t="shared" si="17"/>
        <v>#VALUE!</v>
      </c>
      <c r="U73" s="55">
        <f t="shared" si="18"/>
        <v>3.5</v>
      </c>
    </row>
    <row r="74" spans="1:21" ht="15.5" x14ac:dyDescent="0.35">
      <c r="A74" s="95">
        <f t="shared" si="12"/>
        <v>-38</v>
      </c>
      <c r="B74" s="89">
        <f t="shared" si="0"/>
        <v>161.99999999999986</v>
      </c>
      <c r="C74" s="55" t="e">
        <f t="shared" si="20"/>
        <v>#VALUE!</v>
      </c>
      <c r="D74" s="55" t="e">
        <f t="shared" si="19"/>
        <v>#VALUE!</v>
      </c>
      <c r="E74" s="55" t="e">
        <f t="shared" si="13"/>
        <v>#VALUE!</v>
      </c>
      <c r="F74" s="64">
        <f t="shared" si="10"/>
        <v>3336.2099999999978</v>
      </c>
      <c r="G74" s="64">
        <f t="shared" si="11"/>
        <v>3284.0719999999978</v>
      </c>
      <c r="H74" s="96" t="e">
        <f t="shared" si="14"/>
        <v>#VALUE!</v>
      </c>
      <c r="I74" s="96" t="e">
        <f t="shared" si="15"/>
        <v>#VALUE!</v>
      </c>
      <c r="J74" s="55" t="e">
        <f t="shared" si="2"/>
        <v>#VALUE!</v>
      </c>
      <c r="K74" s="97" t="e">
        <f t="shared" si="3"/>
        <v>#VALUE!</v>
      </c>
      <c r="L74" s="92" t="e">
        <f t="shared" si="4"/>
        <v>#VALUE!</v>
      </c>
      <c r="M74" s="98">
        <v>52.137999999999998</v>
      </c>
      <c r="N74" s="98"/>
      <c r="O74" s="55" t="e">
        <f t="shared" si="5"/>
        <v>#VALUE!</v>
      </c>
      <c r="P74" s="93" t="e">
        <f t="shared" si="16"/>
        <v>#VALUE!</v>
      </c>
      <c r="Q74" s="55">
        <f t="shared" si="6"/>
        <v>31.98355139755434</v>
      </c>
      <c r="R74" s="69" t="e">
        <f t="shared" si="7"/>
        <v>#VALUE!</v>
      </c>
      <c r="S74" s="94" t="e">
        <f t="shared" si="8"/>
        <v>#VALUE!</v>
      </c>
      <c r="T74" s="55" t="e">
        <f t="shared" si="17"/>
        <v>#VALUE!</v>
      </c>
      <c r="U74" s="55">
        <f t="shared" si="18"/>
        <v>3.5</v>
      </c>
    </row>
    <row r="75" spans="1:21" ht="15.5" x14ac:dyDescent="0.35">
      <c r="A75" s="95">
        <f t="shared" si="12"/>
        <v>-39</v>
      </c>
      <c r="B75" s="89">
        <f t="shared" si="0"/>
        <v>158.39999999999986</v>
      </c>
      <c r="C75" s="55" t="e">
        <f t="shared" si="20"/>
        <v>#VALUE!</v>
      </c>
      <c r="D75" s="55" t="e">
        <f t="shared" si="19"/>
        <v>#VALUE!</v>
      </c>
      <c r="E75" s="55" t="e">
        <f t="shared" si="13"/>
        <v>#VALUE!</v>
      </c>
      <c r="F75" s="64">
        <f t="shared" si="10"/>
        <v>3284.0719999999978</v>
      </c>
      <c r="G75" s="64">
        <f t="shared" si="11"/>
        <v>3230.9339999999979</v>
      </c>
      <c r="H75" s="96" t="e">
        <f t="shared" si="14"/>
        <v>#VALUE!</v>
      </c>
      <c r="I75" s="96" t="e">
        <f t="shared" si="15"/>
        <v>#VALUE!</v>
      </c>
      <c r="J75" s="55" t="e">
        <f t="shared" si="2"/>
        <v>#VALUE!</v>
      </c>
      <c r="K75" s="97" t="e">
        <f t="shared" si="3"/>
        <v>#VALUE!</v>
      </c>
      <c r="L75" s="92" t="e">
        <f t="shared" si="4"/>
        <v>#VALUE!</v>
      </c>
      <c r="M75" s="98">
        <v>53.137999999999998</v>
      </c>
      <c r="N75" s="98"/>
      <c r="O75" s="55" t="e">
        <f t="shared" si="5"/>
        <v>#VALUE!</v>
      </c>
      <c r="P75" s="93" t="e">
        <f t="shared" si="16"/>
        <v>#VALUE!</v>
      </c>
      <c r="Q75" s="55">
        <f t="shared" si="6"/>
        <v>32.288814781592713</v>
      </c>
      <c r="R75" s="69" t="e">
        <f t="shared" si="7"/>
        <v>#VALUE!</v>
      </c>
      <c r="S75" s="94" t="e">
        <f t="shared" si="8"/>
        <v>#VALUE!</v>
      </c>
      <c r="T75" s="55" t="e">
        <f t="shared" si="17"/>
        <v>#VALUE!</v>
      </c>
      <c r="U75" s="55">
        <f t="shared" si="18"/>
        <v>3.5</v>
      </c>
    </row>
    <row r="76" spans="1:21" ht="15.5" x14ac:dyDescent="0.35">
      <c r="A76" s="95">
        <f t="shared" si="12"/>
        <v>-40</v>
      </c>
      <c r="B76" s="89">
        <f t="shared" si="0"/>
        <v>154.79999999999987</v>
      </c>
      <c r="C76" s="55" t="e">
        <f t="shared" si="20"/>
        <v>#VALUE!</v>
      </c>
      <c r="D76" s="55" t="e">
        <f t="shared" si="19"/>
        <v>#VALUE!</v>
      </c>
      <c r="E76" s="55" t="e">
        <f t="shared" si="13"/>
        <v>#VALUE!</v>
      </c>
      <c r="F76" s="64">
        <f t="shared" si="10"/>
        <v>3230.9339999999979</v>
      </c>
      <c r="G76" s="64">
        <f t="shared" si="11"/>
        <v>3176.795999999998</v>
      </c>
      <c r="H76" s="96" t="e">
        <f t="shared" si="14"/>
        <v>#VALUE!</v>
      </c>
      <c r="I76" s="96" t="e">
        <f t="shared" si="15"/>
        <v>#VALUE!</v>
      </c>
      <c r="J76" s="55" t="e">
        <f t="shared" si="2"/>
        <v>#VALUE!</v>
      </c>
      <c r="K76" s="97" t="e">
        <f t="shared" si="3"/>
        <v>#VALUE!</v>
      </c>
      <c r="L76" s="92" t="e">
        <f t="shared" si="4"/>
        <v>#VALUE!</v>
      </c>
      <c r="M76" s="98">
        <v>54.137999999999998</v>
      </c>
      <c r="N76" s="98"/>
      <c r="O76" s="55" t="e">
        <f t="shared" si="5"/>
        <v>#VALUE!</v>
      </c>
      <c r="P76" s="93" t="e">
        <f t="shared" si="16"/>
        <v>#VALUE!</v>
      </c>
      <c r="Q76" s="55">
        <f t="shared" si="6"/>
        <v>32.591219062808925</v>
      </c>
      <c r="R76" s="69" t="e">
        <f t="shared" si="7"/>
        <v>#VALUE!</v>
      </c>
      <c r="S76" s="94" t="e">
        <f t="shared" si="8"/>
        <v>#VALUE!</v>
      </c>
      <c r="T76" s="55" t="e">
        <f t="shared" si="17"/>
        <v>#VALUE!</v>
      </c>
      <c r="U76" s="55">
        <f t="shared" si="18"/>
        <v>3.5</v>
      </c>
    </row>
    <row r="77" spans="1:21" ht="15.5" x14ac:dyDescent="0.35">
      <c r="A77" s="95">
        <f t="shared" si="12"/>
        <v>-41</v>
      </c>
      <c r="B77" s="89">
        <f t="shared" si="0"/>
        <v>151.19999999999987</v>
      </c>
      <c r="C77" s="55" t="e">
        <f t="shared" si="20"/>
        <v>#VALUE!</v>
      </c>
      <c r="D77" s="55" t="e">
        <f t="shared" si="19"/>
        <v>#VALUE!</v>
      </c>
      <c r="E77" s="55" t="e">
        <f t="shared" si="13"/>
        <v>#VALUE!</v>
      </c>
      <c r="F77" s="64">
        <f t="shared" si="10"/>
        <v>3176.795999999998</v>
      </c>
      <c r="G77" s="64">
        <f t="shared" si="11"/>
        <v>3121.6579999999981</v>
      </c>
      <c r="H77" s="96" t="e">
        <f t="shared" si="14"/>
        <v>#VALUE!</v>
      </c>
      <c r="I77" s="96" t="e">
        <f t="shared" si="15"/>
        <v>#VALUE!</v>
      </c>
      <c r="J77" s="55" t="e">
        <f t="shared" si="2"/>
        <v>#VALUE!</v>
      </c>
      <c r="K77" s="97" t="e">
        <f t="shared" si="3"/>
        <v>#VALUE!</v>
      </c>
      <c r="L77" s="92" t="e">
        <f t="shared" si="4"/>
        <v>#VALUE!</v>
      </c>
      <c r="M77" s="98">
        <v>55.137999999999998</v>
      </c>
      <c r="N77" s="98"/>
      <c r="O77" s="55" t="e">
        <f t="shared" si="5"/>
        <v>#VALUE!</v>
      </c>
      <c r="P77" s="93" t="e">
        <f t="shared" si="16"/>
        <v>#VALUE!</v>
      </c>
      <c r="Q77" s="55">
        <f t="shared" si="6"/>
        <v>32.890843102602282</v>
      </c>
      <c r="R77" s="69" t="e">
        <f t="shared" si="7"/>
        <v>#VALUE!</v>
      </c>
      <c r="S77" s="94" t="e">
        <f t="shared" si="8"/>
        <v>#VALUE!</v>
      </c>
      <c r="T77" s="55" t="e">
        <f t="shared" si="17"/>
        <v>#VALUE!</v>
      </c>
      <c r="U77" s="55">
        <f t="shared" si="18"/>
        <v>3.5</v>
      </c>
    </row>
    <row r="78" spans="1:21" ht="15.5" x14ac:dyDescent="0.35">
      <c r="A78" s="95">
        <f t="shared" si="12"/>
        <v>-42</v>
      </c>
      <c r="B78" s="89">
        <f t="shared" si="0"/>
        <v>147.59999999999988</v>
      </c>
      <c r="C78" s="55" t="e">
        <f t="shared" si="20"/>
        <v>#VALUE!</v>
      </c>
      <c r="D78" s="55" t="e">
        <f t="shared" si="19"/>
        <v>#VALUE!</v>
      </c>
      <c r="E78" s="55" t="e">
        <f t="shared" si="13"/>
        <v>#VALUE!</v>
      </c>
      <c r="F78" s="64">
        <f t="shared" si="10"/>
        <v>3121.6579999999981</v>
      </c>
      <c r="G78" s="64">
        <f t="shared" si="11"/>
        <v>3065.5199999999982</v>
      </c>
      <c r="H78" s="96" t="e">
        <f t="shared" si="14"/>
        <v>#VALUE!</v>
      </c>
      <c r="I78" s="96" t="e">
        <f t="shared" si="15"/>
        <v>#VALUE!</v>
      </c>
      <c r="J78" s="55" t="e">
        <f t="shared" si="2"/>
        <v>#VALUE!</v>
      </c>
      <c r="K78" s="97" t="e">
        <f t="shared" si="3"/>
        <v>#VALUE!</v>
      </c>
      <c r="L78" s="92" t="e">
        <f t="shared" si="4"/>
        <v>#VALUE!</v>
      </c>
      <c r="M78" s="98">
        <v>56.137999999999998</v>
      </c>
      <c r="N78" s="98"/>
      <c r="O78" s="55" t="e">
        <f t="shared" si="5"/>
        <v>#VALUE!</v>
      </c>
      <c r="P78" s="93" t="e">
        <f t="shared" si="16"/>
        <v>#VALUE!</v>
      </c>
      <c r="Q78" s="55">
        <f t="shared" si="6"/>
        <v>33.187762202354051</v>
      </c>
      <c r="R78" s="69" t="e">
        <f t="shared" si="7"/>
        <v>#VALUE!</v>
      </c>
      <c r="S78" s="94" t="e">
        <f t="shared" si="8"/>
        <v>#VALUE!</v>
      </c>
      <c r="T78" s="55" t="e">
        <f t="shared" si="17"/>
        <v>#VALUE!</v>
      </c>
      <c r="U78" s="55">
        <f t="shared" si="18"/>
        <v>3.5</v>
      </c>
    </row>
    <row r="79" spans="1:21" ht="15.5" x14ac:dyDescent="0.35">
      <c r="A79" s="95">
        <f t="shared" si="12"/>
        <v>-43</v>
      </c>
      <c r="B79" s="89">
        <f t="shared" si="0"/>
        <v>143.99999999999989</v>
      </c>
      <c r="C79" s="55" t="e">
        <f t="shared" si="20"/>
        <v>#VALUE!</v>
      </c>
      <c r="D79" s="55" t="e">
        <f t="shared" si="19"/>
        <v>#VALUE!</v>
      </c>
      <c r="E79" s="55" t="e">
        <f t="shared" si="13"/>
        <v>#VALUE!</v>
      </c>
      <c r="F79" s="64">
        <f t="shared" si="10"/>
        <v>3065.5199999999982</v>
      </c>
      <c r="G79" s="64">
        <f t="shared" si="11"/>
        <v>3008.3819999999982</v>
      </c>
      <c r="H79" s="96" t="e">
        <f t="shared" si="14"/>
        <v>#VALUE!</v>
      </c>
      <c r="I79" s="96" t="e">
        <f t="shared" si="15"/>
        <v>#VALUE!</v>
      </c>
      <c r="J79" s="55" t="e">
        <f t="shared" si="2"/>
        <v>#VALUE!</v>
      </c>
      <c r="K79" s="97" t="e">
        <f t="shared" si="3"/>
        <v>#VALUE!</v>
      </c>
      <c r="L79" s="92" t="e">
        <f t="shared" si="4"/>
        <v>#VALUE!</v>
      </c>
      <c r="M79" s="98">
        <v>57.137999999999998</v>
      </c>
      <c r="N79" s="98"/>
      <c r="O79" s="55" t="e">
        <f t="shared" si="5"/>
        <v>#VALUE!</v>
      </c>
      <c r="P79" s="93" t="e">
        <f t="shared" si="16"/>
        <v>#VALUE!</v>
      </c>
      <c r="Q79" s="55">
        <f t="shared" si="6"/>
        <v>33.482048324437976</v>
      </c>
      <c r="R79" s="69" t="e">
        <f t="shared" si="7"/>
        <v>#VALUE!</v>
      </c>
      <c r="S79" s="94" t="e">
        <f t="shared" si="8"/>
        <v>#VALUE!</v>
      </c>
      <c r="T79" s="55" t="e">
        <f t="shared" si="17"/>
        <v>#VALUE!</v>
      </c>
      <c r="U79" s="55">
        <f t="shared" si="18"/>
        <v>3.5</v>
      </c>
    </row>
    <row r="80" spans="1:21" ht="15.5" x14ac:dyDescent="0.35">
      <c r="A80" s="95">
        <f t="shared" si="12"/>
        <v>-44</v>
      </c>
      <c r="B80" s="89">
        <f t="shared" si="0"/>
        <v>140.39999999999989</v>
      </c>
      <c r="C80" s="55" t="e">
        <f t="shared" si="20"/>
        <v>#VALUE!</v>
      </c>
      <c r="D80" s="55" t="e">
        <f t="shared" si="19"/>
        <v>#VALUE!</v>
      </c>
      <c r="E80" s="55" t="e">
        <f t="shared" si="13"/>
        <v>#VALUE!</v>
      </c>
      <c r="F80" s="64">
        <f t="shared" si="10"/>
        <v>3008.3819999999982</v>
      </c>
      <c r="G80" s="64">
        <f t="shared" si="11"/>
        <v>2950.2439999999983</v>
      </c>
      <c r="H80" s="96" t="e">
        <f t="shared" si="14"/>
        <v>#VALUE!</v>
      </c>
      <c r="I80" s="96" t="e">
        <f t="shared" si="15"/>
        <v>#VALUE!</v>
      </c>
      <c r="J80" s="55" t="e">
        <f t="shared" si="2"/>
        <v>#VALUE!</v>
      </c>
      <c r="K80" s="97" t="e">
        <f t="shared" si="3"/>
        <v>#VALUE!</v>
      </c>
      <c r="L80" s="92" t="e">
        <f t="shared" si="4"/>
        <v>#VALUE!</v>
      </c>
      <c r="M80" s="98">
        <v>58.137999999999998</v>
      </c>
      <c r="N80" s="98"/>
      <c r="O80" s="55" t="e">
        <f t="shared" si="5"/>
        <v>#VALUE!</v>
      </c>
      <c r="P80" s="93" t="e">
        <f t="shared" si="16"/>
        <v>#VALUE!</v>
      </c>
      <c r="Q80" s="55">
        <f t="shared" si="6"/>
        <v>33.773770295896789</v>
      </c>
      <c r="R80" s="69" t="e">
        <f t="shared" si="7"/>
        <v>#VALUE!</v>
      </c>
      <c r="S80" s="94" t="e">
        <f t="shared" si="8"/>
        <v>#VALUE!</v>
      </c>
      <c r="T80" s="55" t="e">
        <f t="shared" si="17"/>
        <v>#VALUE!</v>
      </c>
      <c r="U80" s="55">
        <f t="shared" si="18"/>
        <v>3.5</v>
      </c>
    </row>
    <row r="81" spans="1:21" ht="15.5" x14ac:dyDescent="0.35">
      <c r="A81" s="95">
        <f t="shared" si="12"/>
        <v>-45</v>
      </c>
      <c r="B81" s="89">
        <f t="shared" si="0"/>
        <v>136.7999999999999</v>
      </c>
      <c r="C81" s="55" t="e">
        <f t="shared" si="20"/>
        <v>#VALUE!</v>
      </c>
      <c r="D81" s="55" t="e">
        <f t="shared" si="19"/>
        <v>#VALUE!</v>
      </c>
      <c r="E81" s="55" t="e">
        <f t="shared" si="13"/>
        <v>#VALUE!</v>
      </c>
      <c r="F81" s="64">
        <f t="shared" si="10"/>
        <v>2950.2439999999983</v>
      </c>
      <c r="G81" s="64">
        <f t="shared" si="11"/>
        <v>2891.1059999999984</v>
      </c>
      <c r="H81" s="96" t="e">
        <f t="shared" si="14"/>
        <v>#VALUE!</v>
      </c>
      <c r="I81" s="96" t="e">
        <f t="shared" si="15"/>
        <v>#VALUE!</v>
      </c>
      <c r="J81" s="55" t="e">
        <f t="shared" si="2"/>
        <v>#VALUE!</v>
      </c>
      <c r="K81" s="97" t="e">
        <f t="shared" si="3"/>
        <v>#VALUE!</v>
      </c>
      <c r="L81" s="92" t="e">
        <f t="shared" si="4"/>
        <v>#VALUE!</v>
      </c>
      <c r="M81" s="98">
        <v>59.137999999999998</v>
      </c>
      <c r="N81" s="98"/>
      <c r="O81" s="55" t="e">
        <f t="shared" si="5"/>
        <v>#VALUE!</v>
      </c>
      <c r="P81" s="93" t="e">
        <f t="shared" si="16"/>
        <v>#VALUE!</v>
      </c>
      <c r="Q81" s="55">
        <f t="shared" si="6"/>
        <v>34.062993996417873</v>
      </c>
      <c r="R81" s="69" t="e">
        <f t="shared" si="7"/>
        <v>#VALUE!</v>
      </c>
      <c r="S81" s="94" t="e">
        <f t="shared" si="8"/>
        <v>#VALUE!</v>
      </c>
      <c r="T81" s="55" t="e">
        <f t="shared" si="17"/>
        <v>#VALUE!</v>
      </c>
      <c r="U81" s="55">
        <f t="shared" si="18"/>
        <v>3.5</v>
      </c>
    </row>
    <row r="82" spans="1:21" ht="15.5" x14ac:dyDescent="0.35">
      <c r="A82" s="95">
        <f t="shared" si="12"/>
        <v>-46</v>
      </c>
      <c r="B82" s="89">
        <f t="shared" si="0"/>
        <v>133.1999999999999</v>
      </c>
      <c r="C82" s="55" t="e">
        <f t="shared" si="20"/>
        <v>#VALUE!</v>
      </c>
      <c r="D82" s="55" t="e">
        <f t="shared" si="19"/>
        <v>#VALUE!</v>
      </c>
      <c r="E82" s="55" t="e">
        <f t="shared" si="13"/>
        <v>#VALUE!</v>
      </c>
      <c r="F82" s="64">
        <f t="shared" si="10"/>
        <v>2891.1059999999984</v>
      </c>
      <c r="G82" s="64">
        <f t="shared" si="11"/>
        <v>2830.9679999999985</v>
      </c>
      <c r="H82" s="96" t="e">
        <f t="shared" si="14"/>
        <v>#VALUE!</v>
      </c>
      <c r="I82" s="96" t="e">
        <f t="shared" si="15"/>
        <v>#VALUE!</v>
      </c>
      <c r="J82" s="55" t="e">
        <f t="shared" si="2"/>
        <v>#VALUE!</v>
      </c>
      <c r="K82" s="97" t="e">
        <f t="shared" si="3"/>
        <v>#VALUE!</v>
      </c>
      <c r="L82" s="92" t="e">
        <f t="shared" si="4"/>
        <v>#VALUE!</v>
      </c>
      <c r="M82" s="98">
        <v>60.137999999999998</v>
      </c>
      <c r="N82" s="98"/>
      <c r="O82" s="55" t="e">
        <f t="shared" si="5"/>
        <v>#VALUE!</v>
      </c>
      <c r="P82" s="93" t="e">
        <f t="shared" si="16"/>
        <v>#VALUE!</v>
      </c>
      <c r="Q82" s="55">
        <f t="shared" si="6"/>
        <v>34.349782532062704</v>
      </c>
      <c r="R82" s="69" t="e">
        <f t="shared" si="7"/>
        <v>#VALUE!</v>
      </c>
      <c r="S82" s="94" t="e">
        <f t="shared" si="8"/>
        <v>#VALUE!</v>
      </c>
      <c r="T82" s="55" t="e">
        <f t="shared" si="17"/>
        <v>#VALUE!</v>
      </c>
      <c r="U82" s="55">
        <f t="shared" si="18"/>
        <v>3.5</v>
      </c>
    </row>
    <row r="83" spans="1:21" ht="15.5" x14ac:dyDescent="0.35">
      <c r="A83" s="95">
        <f t="shared" si="12"/>
        <v>-47</v>
      </c>
      <c r="B83" s="89">
        <f t="shared" si="0"/>
        <v>129.59999999999991</v>
      </c>
      <c r="C83" s="55" t="e">
        <f t="shared" si="20"/>
        <v>#VALUE!</v>
      </c>
      <c r="D83" s="55" t="e">
        <f t="shared" si="19"/>
        <v>#VALUE!</v>
      </c>
      <c r="E83" s="55" t="e">
        <f t="shared" si="13"/>
        <v>#VALUE!</v>
      </c>
      <c r="F83" s="64">
        <f t="shared" si="10"/>
        <v>2830.9679999999985</v>
      </c>
      <c r="G83" s="64">
        <f t="shared" si="11"/>
        <v>2769.8299999999986</v>
      </c>
      <c r="H83" s="96" t="e">
        <f t="shared" si="14"/>
        <v>#VALUE!</v>
      </c>
      <c r="I83" s="96" t="e">
        <f t="shared" si="15"/>
        <v>#VALUE!</v>
      </c>
      <c r="J83" s="55" t="e">
        <f t="shared" si="2"/>
        <v>#VALUE!</v>
      </c>
      <c r="K83" s="97" t="e">
        <f t="shared" si="3"/>
        <v>#VALUE!</v>
      </c>
      <c r="L83" s="92" t="e">
        <f t="shared" si="4"/>
        <v>#VALUE!</v>
      </c>
      <c r="M83" s="98">
        <v>61.137999999999998</v>
      </c>
      <c r="N83" s="98"/>
      <c r="O83" s="55" t="e">
        <f t="shared" si="5"/>
        <v>#VALUE!</v>
      </c>
      <c r="P83" s="93" t="e">
        <f t="shared" si="16"/>
        <v>#VALUE!</v>
      </c>
      <c r="Q83" s="55">
        <f t="shared" si="6"/>
        <v>34.634196396047649</v>
      </c>
      <c r="R83" s="69" t="e">
        <f t="shared" si="7"/>
        <v>#VALUE!</v>
      </c>
      <c r="S83" s="94" t="e">
        <f t="shared" si="8"/>
        <v>#VALUE!</v>
      </c>
      <c r="T83" s="55" t="e">
        <f t="shared" si="17"/>
        <v>#VALUE!</v>
      </c>
      <c r="U83" s="55">
        <f t="shared" si="18"/>
        <v>3.5</v>
      </c>
    </row>
    <row r="84" spans="1:21" ht="15.5" x14ac:dyDescent="0.35">
      <c r="A84" s="95">
        <f t="shared" si="12"/>
        <v>-48</v>
      </c>
      <c r="B84" s="89">
        <f t="shared" si="0"/>
        <v>125.99999999999991</v>
      </c>
      <c r="C84" s="55" t="e">
        <f t="shared" si="20"/>
        <v>#VALUE!</v>
      </c>
      <c r="D84" s="55" t="e">
        <f t="shared" si="19"/>
        <v>#VALUE!</v>
      </c>
      <c r="E84" s="55" t="e">
        <f t="shared" si="13"/>
        <v>#VALUE!</v>
      </c>
      <c r="F84" s="64">
        <f t="shared" si="10"/>
        <v>2769.8299999999986</v>
      </c>
      <c r="G84" s="64">
        <f t="shared" si="11"/>
        <v>2707.6919999999986</v>
      </c>
      <c r="H84" s="96" t="e">
        <f t="shared" si="14"/>
        <v>#VALUE!</v>
      </c>
      <c r="I84" s="96" t="e">
        <f t="shared" si="15"/>
        <v>#VALUE!</v>
      </c>
      <c r="J84" s="55" t="e">
        <f t="shared" si="2"/>
        <v>#VALUE!</v>
      </c>
      <c r="K84" s="97" t="e">
        <f t="shared" si="3"/>
        <v>#VALUE!</v>
      </c>
      <c r="L84" s="92" t="e">
        <f t="shared" si="4"/>
        <v>#VALUE!</v>
      </c>
      <c r="M84" s="98">
        <v>62.137999999999998</v>
      </c>
      <c r="N84" s="98"/>
      <c r="O84" s="55" t="e">
        <f t="shared" si="5"/>
        <v>#VALUE!</v>
      </c>
      <c r="P84" s="93" t="e">
        <f t="shared" si="16"/>
        <v>#VALUE!</v>
      </c>
      <c r="Q84" s="55">
        <f t="shared" si="6"/>
        <v>34.916293617736692</v>
      </c>
      <c r="R84" s="69" t="e">
        <f t="shared" si="7"/>
        <v>#VALUE!</v>
      </c>
      <c r="S84" s="94" t="e">
        <f t="shared" si="8"/>
        <v>#VALUE!</v>
      </c>
      <c r="T84" s="55" t="e">
        <f t="shared" si="17"/>
        <v>#VALUE!</v>
      </c>
      <c r="U84" s="55">
        <f t="shared" si="18"/>
        <v>3.5</v>
      </c>
    </row>
    <row r="85" spans="1:21" ht="15.5" x14ac:dyDescent="0.35">
      <c r="A85" s="95">
        <f t="shared" si="12"/>
        <v>-49</v>
      </c>
      <c r="B85" s="89">
        <f t="shared" ref="B85:B116" si="21">IF(A85=1,0,B86+U85+$F$16)</f>
        <v>122.39999999999992</v>
      </c>
      <c r="C85" s="55" t="e">
        <f t="shared" si="20"/>
        <v>#VALUE!</v>
      </c>
      <c r="D85" s="55" t="e">
        <f t="shared" ref="D85:D116" si="22">C85-$F$16*$K$10</f>
        <v>#VALUE!</v>
      </c>
      <c r="E85" s="55" t="e">
        <f t="shared" si="13"/>
        <v>#VALUE!</v>
      </c>
      <c r="F85" s="64">
        <f t="shared" si="10"/>
        <v>2707.6919999999986</v>
      </c>
      <c r="G85" s="64">
        <f t="shared" si="11"/>
        <v>2644.5539999999987</v>
      </c>
      <c r="H85" s="96" t="e">
        <f t="shared" si="14"/>
        <v>#VALUE!</v>
      </c>
      <c r="I85" s="96" t="e">
        <f t="shared" si="15"/>
        <v>#VALUE!</v>
      </c>
      <c r="J85" s="55" t="e">
        <f t="shared" ref="J85:J118" si="23">(P85^2/(9.81*$F$15^2))^(1/3)</f>
        <v>#VALUE!</v>
      </c>
      <c r="K85" s="97" t="e">
        <f t="shared" ref="K85:K116" si="24">IF(NOT(I85&lt;J85),"okay","nicht okay")</f>
        <v>#VALUE!</v>
      </c>
      <c r="L85" s="92" t="e">
        <f t="shared" ref="L85:L118" si="25">IF(F85&gt;E85,"Fehler: Trennwand überströmt"," ")</f>
        <v>#VALUE!</v>
      </c>
      <c r="M85" s="98">
        <v>63.137999999999998</v>
      </c>
      <c r="N85" s="98"/>
      <c r="O85" s="55" t="e">
        <f t="shared" ref="O85:O118" si="26">IF((I85/H85)&lt;0.5,"ungültig",IF((I85/H85)&gt;0.99,"ungültig",IF(N85="a",0.59*(1-(I85/H85)^4.5)^0.48,IF(N85="b",0.48*(1-(I85/H85)^4.5)^0.6,IF(N85="c",0.65*(1-(I85/H85)^2.5)^0.55, "falsche Eingabe Spalte N !" )))))</f>
        <v>#VALUE!</v>
      </c>
      <c r="P85" s="93" t="e">
        <f t="shared" si="16"/>
        <v>#VALUE!</v>
      </c>
      <c r="Q85" s="55">
        <f t="shared" ref="Q85:Q118" si="27">(2*9.81*M85)^0.5</f>
        <v>35.19612990088541</v>
      </c>
      <c r="R85" s="69" t="e">
        <f t="shared" ref="R85:R119" si="28">IF(OR((I85/H85)&lt;0.5,(I85/H85)&gt;0.99,I85=2*F$15,I85&lt;2*F$15),"Nein","Ja")</f>
        <v>#VALUE!</v>
      </c>
      <c r="S85" s="94" t="e">
        <f t="shared" ref="S85:S116" si="29">IF(A85=1," ",9810*M85*P85/(T85*U85*$F$17))</f>
        <v>#VALUE!</v>
      </c>
      <c r="T85" s="55" t="e">
        <f t="shared" si="17"/>
        <v>#VALUE!</v>
      </c>
      <c r="U85" s="55">
        <f t="shared" si="18"/>
        <v>3.5</v>
      </c>
    </row>
    <row r="86" spans="1:21" ht="15.5" x14ac:dyDescent="0.35">
      <c r="A86" s="95">
        <f t="shared" si="12"/>
        <v>-50</v>
      </c>
      <c r="B86" s="89">
        <f t="shared" si="21"/>
        <v>118.79999999999993</v>
      </c>
      <c r="C86" s="55" t="e">
        <f t="shared" ref="C86:C118" si="30">C85-((U85+$F$16)*$K$10)</f>
        <v>#VALUE!</v>
      </c>
      <c r="D86" s="55" t="e">
        <f t="shared" si="22"/>
        <v>#VALUE!</v>
      </c>
      <c r="E86" s="55" t="e">
        <f t="shared" si="13"/>
        <v>#VALUE!</v>
      </c>
      <c r="F86" s="64">
        <f t="shared" ref="F86:F117" si="31">G86+M86</f>
        <v>2644.5539999999987</v>
      </c>
      <c r="G86" s="64">
        <f t="shared" ref="G86:G118" si="32">IF($A86=1,$F$13,F87)</f>
        <v>2580.4159999999988</v>
      </c>
      <c r="H86" s="96" t="e">
        <f t="shared" si="14"/>
        <v>#VALUE!</v>
      </c>
      <c r="I86" s="96" t="e">
        <f t="shared" si="15"/>
        <v>#VALUE!</v>
      </c>
      <c r="J86" s="55" t="e">
        <f t="shared" si="23"/>
        <v>#VALUE!</v>
      </c>
      <c r="K86" s="97" t="e">
        <f t="shared" si="24"/>
        <v>#VALUE!</v>
      </c>
      <c r="L86" s="92" t="e">
        <f t="shared" si="25"/>
        <v>#VALUE!</v>
      </c>
      <c r="M86" s="98">
        <v>64.138000000000005</v>
      </c>
      <c r="N86" s="98"/>
      <c r="O86" s="55" t="e">
        <f t="shared" si="26"/>
        <v>#VALUE!</v>
      </c>
      <c r="P86" s="93" t="e">
        <f t="shared" si="16"/>
        <v>#VALUE!</v>
      </c>
      <c r="Q86" s="55">
        <f t="shared" si="27"/>
        <v>35.473758752069116</v>
      </c>
      <c r="R86" s="69" t="e">
        <f t="shared" si="28"/>
        <v>#VALUE!</v>
      </c>
      <c r="S86" s="94" t="e">
        <f t="shared" si="29"/>
        <v>#VALUE!</v>
      </c>
      <c r="T86" s="55" t="e">
        <f t="shared" si="17"/>
        <v>#VALUE!</v>
      </c>
      <c r="U86" s="55">
        <f t="shared" si="18"/>
        <v>3.5</v>
      </c>
    </row>
    <row r="87" spans="1:21" ht="15.5" x14ac:dyDescent="0.35">
      <c r="A87" s="95">
        <f t="shared" ref="A87:A118" si="33">A86-1</f>
        <v>-51</v>
      </c>
      <c r="B87" s="89">
        <f t="shared" si="21"/>
        <v>115.19999999999993</v>
      </c>
      <c r="C87" s="55" t="e">
        <f t="shared" si="30"/>
        <v>#VALUE!</v>
      </c>
      <c r="D87" s="55" t="e">
        <f t="shared" si="22"/>
        <v>#VALUE!</v>
      </c>
      <c r="E87" s="55" t="e">
        <f t="shared" ref="E87:E118" si="34">C87+$F$14</f>
        <v>#VALUE!</v>
      </c>
      <c r="F87" s="64">
        <f t="shared" si="31"/>
        <v>2580.4159999999988</v>
      </c>
      <c r="G87" s="64">
        <f t="shared" si="32"/>
        <v>2515.2779999999989</v>
      </c>
      <c r="H87" s="96" t="e">
        <f t="shared" ref="H87:H118" si="35">F87-C87</f>
        <v>#VALUE!</v>
      </c>
      <c r="I87" s="96" t="e">
        <f t="shared" ref="I87:I118" si="36">G87-C87</f>
        <v>#VALUE!</v>
      </c>
      <c r="J87" s="55" t="e">
        <f t="shared" si="23"/>
        <v>#VALUE!</v>
      </c>
      <c r="K87" s="97" t="e">
        <f t="shared" si="24"/>
        <v>#VALUE!</v>
      </c>
      <c r="L87" s="92" t="e">
        <f t="shared" si="25"/>
        <v>#VALUE!</v>
      </c>
      <c r="M87" s="98">
        <v>65.138000000000005</v>
      </c>
      <c r="N87" s="98"/>
      <c r="O87" s="55" t="e">
        <f t="shared" si="26"/>
        <v>#VALUE!</v>
      </c>
      <c r="P87" s="93" t="e">
        <f t="shared" ref="P87:P119" si="37">H87^(3/2)*SQRT(9.81)*$F$15*O87</f>
        <v>#VALUE!</v>
      </c>
      <c r="Q87" s="55">
        <f t="shared" si="27"/>
        <v>35.749231600133733</v>
      </c>
      <c r="R87" s="69" t="e">
        <f t="shared" si="28"/>
        <v>#VALUE!</v>
      </c>
      <c r="S87" s="94" t="e">
        <f t="shared" si="29"/>
        <v>#VALUE!</v>
      </c>
      <c r="T87" s="55" t="e">
        <f t="shared" ref="T87:T118" si="38">IF(A87=1," ",((G87-D87)+(F88-C88))/2)</f>
        <v>#VALUE!</v>
      </c>
      <c r="U87" s="55">
        <f t="shared" ref="U87:U118" si="39">IF(A87=1," ",($F$8-$F$16)/($F$9-1)-$F$16)</f>
        <v>3.5</v>
      </c>
    </row>
    <row r="88" spans="1:21" ht="15.5" x14ac:dyDescent="0.35">
      <c r="A88" s="95">
        <f t="shared" si="33"/>
        <v>-52</v>
      </c>
      <c r="B88" s="89">
        <f t="shared" si="21"/>
        <v>111.59999999999994</v>
      </c>
      <c r="C88" s="55" t="e">
        <f t="shared" si="30"/>
        <v>#VALUE!</v>
      </c>
      <c r="D88" s="55" t="e">
        <f t="shared" si="22"/>
        <v>#VALUE!</v>
      </c>
      <c r="E88" s="55" t="e">
        <f t="shared" si="34"/>
        <v>#VALUE!</v>
      </c>
      <c r="F88" s="64">
        <f t="shared" si="31"/>
        <v>2515.2779999999989</v>
      </c>
      <c r="G88" s="64">
        <f t="shared" si="32"/>
        <v>2449.139999999999</v>
      </c>
      <c r="H88" s="96" t="e">
        <f t="shared" si="35"/>
        <v>#VALUE!</v>
      </c>
      <c r="I88" s="96" t="e">
        <f t="shared" si="36"/>
        <v>#VALUE!</v>
      </c>
      <c r="J88" s="55" t="e">
        <f t="shared" si="23"/>
        <v>#VALUE!</v>
      </c>
      <c r="K88" s="97" t="e">
        <f t="shared" si="24"/>
        <v>#VALUE!</v>
      </c>
      <c r="L88" s="92" t="e">
        <f t="shared" si="25"/>
        <v>#VALUE!</v>
      </c>
      <c r="M88" s="98">
        <v>66.138000000000005</v>
      </c>
      <c r="N88" s="98"/>
      <c r="O88" s="55" t="e">
        <f t="shared" si="26"/>
        <v>#VALUE!</v>
      </c>
      <c r="P88" s="93" t="e">
        <f t="shared" si="37"/>
        <v>#VALUE!</v>
      </c>
      <c r="Q88" s="55">
        <f t="shared" si="27"/>
        <v>36.022597907424725</v>
      </c>
      <c r="R88" s="69" t="e">
        <f t="shared" si="28"/>
        <v>#VALUE!</v>
      </c>
      <c r="S88" s="94" t="e">
        <f t="shared" si="29"/>
        <v>#VALUE!</v>
      </c>
      <c r="T88" s="55" t="e">
        <f t="shared" si="38"/>
        <v>#VALUE!</v>
      </c>
      <c r="U88" s="55">
        <f t="shared" si="39"/>
        <v>3.5</v>
      </c>
    </row>
    <row r="89" spans="1:21" ht="15.5" x14ac:dyDescent="0.35">
      <c r="A89" s="95">
        <f t="shared" si="33"/>
        <v>-53</v>
      </c>
      <c r="B89" s="89">
        <f t="shared" si="21"/>
        <v>107.99999999999994</v>
      </c>
      <c r="C89" s="55" t="e">
        <f t="shared" si="30"/>
        <v>#VALUE!</v>
      </c>
      <c r="D89" s="55" t="e">
        <f t="shared" si="22"/>
        <v>#VALUE!</v>
      </c>
      <c r="E89" s="55" t="e">
        <f t="shared" si="34"/>
        <v>#VALUE!</v>
      </c>
      <c r="F89" s="64">
        <f t="shared" si="31"/>
        <v>2449.139999999999</v>
      </c>
      <c r="G89" s="64">
        <f t="shared" si="32"/>
        <v>2382.001999999999</v>
      </c>
      <c r="H89" s="96" t="e">
        <f t="shared" si="35"/>
        <v>#VALUE!</v>
      </c>
      <c r="I89" s="96" t="e">
        <f t="shared" si="36"/>
        <v>#VALUE!</v>
      </c>
      <c r="J89" s="55" t="e">
        <f t="shared" si="23"/>
        <v>#VALUE!</v>
      </c>
      <c r="K89" s="97" t="e">
        <f t="shared" si="24"/>
        <v>#VALUE!</v>
      </c>
      <c r="L89" s="92" t="e">
        <f t="shared" si="25"/>
        <v>#VALUE!</v>
      </c>
      <c r="M89" s="98">
        <v>67.138000000000005</v>
      </c>
      <c r="N89" s="98"/>
      <c r="O89" s="55" t="e">
        <f t="shared" si="26"/>
        <v>#VALUE!</v>
      </c>
      <c r="P89" s="93" t="e">
        <f t="shared" si="37"/>
        <v>#VALUE!</v>
      </c>
      <c r="Q89" s="55">
        <f t="shared" si="27"/>
        <v>36.293905273475332</v>
      </c>
      <c r="R89" s="69" t="e">
        <f t="shared" si="28"/>
        <v>#VALUE!</v>
      </c>
      <c r="S89" s="94" t="e">
        <f t="shared" si="29"/>
        <v>#VALUE!</v>
      </c>
      <c r="T89" s="55" t="e">
        <f t="shared" si="38"/>
        <v>#VALUE!</v>
      </c>
      <c r="U89" s="55">
        <f t="shared" si="39"/>
        <v>3.5</v>
      </c>
    </row>
    <row r="90" spans="1:21" ht="15.5" x14ac:dyDescent="0.35">
      <c r="A90" s="95">
        <f t="shared" si="33"/>
        <v>-54</v>
      </c>
      <c r="B90" s="89">
        <f t="shared" si="21"/>
        <v>104.39999999999995</v>
      </c>
      <c r="C90" s="55" t="e">
        <f t="shared" si="30"/>
        <v>#VALUE!</v>
      </c>
      <c r="D90" s="55" t="e">
        <f t="shared" si="22"/>
        <v>#VALUE!</v>
      </c>
      <c r="E90" s="55" t="e">
        <f t="shared" si="34"/>
        <v>#VALUE!</v>
      </c>
      <c r="F90" s="64">
        <f t="shared" si="31"/>
        <v>2382.001999999999</v>
      </c>
      <c r="G90" s="64">
        <f t="shared" si="32"/>
        <v>2313.8639999999991</v>
      </c>
      <c r="H90" s="96" t="e">
        <f t="shared" si="35"/>
        <v>#VALUE!</v>
      </c>
      <c r="I90" s="96" t="e">
        <f t="shared" si="36"/>
        <v>#VALUE!</v>
      </c>
      <c r="J90" s="55" t="e">
        <f t="shared" si="23"/>
        <v>#VALUE!</v>
      </c>
      <c r="K90" s="97" t="e">
        <f t="shared" si="24"/>
        <v>#VALUE!</v>
      </c>
      <c r="L90" s="92" t="e">
        <f t="shared" si="25"/>
        <v>#VALUE!</v>
      </c>
      <c r="M90" s="98">
        <v>68.138000000000005</v>
      </c>
      <c r="N90" s="98"/>
      <c r="O90" s="55" t="e">
        <f t="shared" si="26"/>
        <v>#VALUE!</v>
      </c>
      <c r="P90" s="93" t="e">
        <f t="shared" si="37"/>
        <v>#VALUE!</v>
      </c>
      <c r="Q90" s="55">
        <f t="shared" si="27"/>
        <v>36.563199531769648</v>
      </c>
      <c r="R90" s="69" t="e">
        <f t="shared" si="28"/>
        <v>#VALUE!</v>
      </c>
      <c r="S90" s="94" t="e">
        <f t="shared" si="29"/>
        <v>#VALUE!</v>
      </c>
      <c r="T90" s="55" t="e">
        <f t="shared" si="38"/>
        <v>#VALUE!</v>
      </c>
      <c r="U90" s="55">
        <f t="shared" si="39"/>
        <v>3.5</v>
      </c>
    </row>
    <row r="91" spans="1:21" ht="15.5" x14ac:dyDescent="0.35">
      <c r="A91" s="95">
        <f t="shared" si="33"/>
        <v>-55</v>
      </c>
      <c r="B91" s="89">
        <f t="shared" si="21"/>
        <v>100.79999999999995</v>
      </c>
      <c r="C91" s="55" t="e">
        <f t="shared" si="30"/>
        <v>#VALUE!</v>
      </c>
      <c r="D91" s="55" t="e">
        <f t="shared" si="22"/>
        <v>#VALUE!</v>
      </c>
      <c r="E91" s="55" t="e">
        <f t="shared" si="34"/>
        <v>#VALUE!</v>
      </c>
      <c r="F91" s="64">
        <f t="shared" si="31"/>
        <v>2313.8639999999991</v>
      </c>
      <c r="G91" s="64">
        <f t="shared" si="32"/>
        <v>2244.7259999999992</v>
      </c>
      <c r="H91" s="96" t="e">
        <f t="shared" si="35"/>
        <v>#VALUE!</v>
      </c>
      <c r="I91" s="96" t="e">
        <f t="shared" si="36"/>
        <v>#VALUE!</v>
      </c>
      <c r="J91" s="55" t="e">
        <f t="shared" si="23"/>
        <v>#VALUE!</v>
      </c>
      <c r="K91" s="97" t="e">
        <f t="shared" si="24"/>
        <v>#VALUE!</v>
      </c>
      <c r="L91" s="92" t="e">
        <f t="shared" si="25"/>
        <v>#VALUE!</v>
      </c>
      <c r="M91" s="98">
        <v>69.138000000000005</v>
      </c>
      <c r="N91" s="98"/>
      <c r="O91" s="55" t="e">
        <f t="shared" si="26"/>
        <v>#VALUE!</v>
      </c>
      <c r="P91" s="93" t="e">
        <f t="shared" si="37"/>
        <v>#VALUE!</v>
      </c>
      <c r="Q91" s="55">
        <f t="shared" si="27"/>
        <v>36.830524840137699</v>
      </c>
      <c r="R91" s="69" t="e">
        <f t="shared" si="28"/>
        <v>#VALUE!</v>
      </c>
      <c r="S91" s="94" t="e">
        <f t="shared" si="29"/>
        <v>#VALUE!</v>
      </c>
      <c r="T91" s="55" t="e">
        <f t="shared" si="38"/>
        <v>#VALUE!</v>
      </c>
      <c r="U91" s="55">
        <f t="shared" si="39"/>
        <v>3.5</v>
      </c>
    </row>
    <row r="92" spans="1:21" ht="15.5" x14ac:dyDescent="0.35">
      <c r="A92" s="95">
        <f t="shared" si="33"/>
        <v>-56</v>
      </c>
      <c r="B92" s="89">
        <f t="shared" si="21"/>
        <v>97.19999999999996</v>
      </c>
      <c r="C92" s="55" t="e">
        <f t="shared" si="30"/>
        <v>#VALUE!</v>
      </c>
      <c r="D92" s="55" t="e">
        <f t="shared" si="22"/>
        <v>#VALUE!</v>
      </c>
      <c r="E92" s="55" t="e">
        <f t="shared" si="34"/>
        <v>#VALUE!</v>
      </c>
      <c r="F92" s="64">
        <f t="shared" si="31"/>
        <v>2244.7259999999992</v>
      </c>
      <c r="G92" s="64">
        <f t="shared" si="32"/>
        <v>2174.5879999999993</v>
      </c>
      <c r="H92" s="96" t="e">
        <f t="shared" si="35"/>
        <v>#VALUE!</v>
      </c>
      <c r="I92" s="96" t="e">
        <f t="shared" si="36"/>
        <v>#VALUE!</v>
      </c>
      <c r="J92" s="55" t="e">
        <f t="shared" si="23"/>
        <v>#VALUE!</v>
      </c>
      <c r="K92" s="97" t="e">
        <f t="shared" si="24"/>
        <v>#VALUE!</v>
      </c>
      <c r="L92" s="92" t="e">
        <f t="shared" si="25"/>
        <v>#VALUE!</v>
      </c>
      <c r="M92" s="98">
        <v>70.138000000000005</v>
      </c>
      <c r="N92" s="98"/>
      <c r="O92" s="55" t="e">
        <f t="shared" si="26"/>
        <v>#VALUE!</v>
      </c>
      <c r="P92" s="93" t="e">
        <f t="shared" si="37"/>
        <v>#VALUE!</v>
      </c>
      <c r="Q92" s="55">
        <f t="shared" si="27"/>
        <v>37.095923765287203</v>
      </c>
      <c r="R92" s="69" t="e">
        <f t="shared" si="28"/>
        <v>#VALUE!</v>
      </c>
      <c r="S92" s="94" t="e">
        <f t="shared" si="29"/>
        <v>#VALUE!</v>
      </c>
      <c r="T92" s="55" t="e">
        <f t="shared" si="38"/>
        <v>#VALUE!</v>
      </c>
      <c r="U92" s="55">
        <f t="shared" si="39"/>
        <v>3.5</v>
      </c>
    </row>
    <row r="93" spans="1:21" ht="15.5" x14ac:dyDescent="0.35">
      <c r="A93" s="95">
        <f t="shared" si="33"/>
        <v>-57</v>
      </c>
      <c r="B93" s="89">
        <f t="shared" si="21"/>
        <v>93.599999999999966</v>
      </c>
      <c r="C93" s="55" t="e">
        <f t="shared" si="30"/>
        <v>#VALUE!</v>
      </c>
      <c r="D93" s="55" t="e">
        <f t="shared" si="22"/>
        <v>#VALUE!</v>
      </c>
      <c r="E93" s="55" t="e">
        <f t="shared" si="34"/>
        <v>#VALUE!</v>
      </c>
      <c r="F93" s="64">
        <f t="shared" si="31"/>
        <v>2174.5879999999993</v>
      </c>
      <c r="G93" s="64">
        <f t="shared" si="32"/>
        <v>2103.4499999999994</v>
      </c>
      <c r="H93" s="96" t="e">
        <f t="shared" si="35"/>
        <v>#VALUE!</v>
      </c>
      <c r="I93" s="96" t="e">
        <f t="shared" si="36"/>
        <v>#VALUE!</v>
      </c>
      <c r="J93" s="55" t="e">
        <f t="shared" si="23"/>
        <v>#VALUE!</v>
      </c>
      <c r="K93" s="97" t="e">
        <f t="shared" si="24"/>
        <v>#VALUE!</v>
      </c>
      <c r="L93" s="92" t="e">
        <f t="shared" si="25"/>
        <v>#VALUE!</v>
      </c>
      <c r="M93" s="98">
        <v>71.138000000000005</v>
      </c>
      <c r="N93" s="98"/>
      <c r="O93" s="55" t="e">
        <f t="shared" si="26"/>
        <v>#VALUE!</v>
      </c>
      <c r="P93" s="93" t="e">
        <f t="shared" si="37"/>
        <v>#VALUE!</v>
      </c>
      <c r="Q93" s="55">
        <f t="shared" si="27"/>
        <v>37.359437361930389</v>
      </c>
      <c r="R93" s="69" t="e">
        <f t="shared" si="28"/>
        <v>#VALUE!</v>
      </c>
      <c r="S93" s="94" t="e">
        <f t="shared" si="29"/>
        <v>#VALUE!</v>
      </c>
      <c r="T93" s="55" t="e">
        <f t="shared" si="38"/>
        <v>#VALUE!</v>
      </c>
      <c r="U93" s="55">
        <f t="shared" si="39"/>
        <v>3.5</v>
      </c>
    </row>
    <row r="94" spans="1:21" ht="15.5" x14ac:dyDescent="0.35">
      <c r="A94" s="95">
        <f t="shared" si="33"/>
        <v>-58</v>
      </c>
      <c r="B94" s="89">
        <f t="shared" si="21"/>
        <v>89.999999999999972</v>
      </c>
      <c r="C94" s="55" t="e">
        <f t="shared" si="30"/>
        <v>#VALUE!</v>
      </c>
      <c r="D94" s="55" t="e">
        <f t="shared" si="22"/>
        <v>#VALUE!</v>
      </c>
      <c r="E94" s="55" t="e">
        <f t="shared" si="34"/>
        <v>#VALUE!</v>
      </c>
      <c r="F94" s="64">
        <f t="shared" si="31"/>
        <v>2103.4499999999994</v>
      </c>
      <c r="G94" s="64">
        <f t="shared" si="32"/>
        <v>2031.3119999999992</v>
      </c>
      <c r="H94" s="96" t="e">
        <f t="shared" si="35"/>
        <v>#VALUE!</v>
      </c>
      <c r="I94" s="96" t="e">
        <f t="shared" si="36"/>
        <v>#VALUE!</v>
      </c>
      <c r="J94" s="55" t="e">
        <f t="shared" si="23"/>
        <v>#VALUE!</v>
      </c>
      <c r="K94" s="97" t="e">
        <f t="shared" si="24"/>
        <v>#VALUE!</v>
      </c>
      <c r="L94" s="92" t="e">
        <f t="shared" si="25"/>
        <v>#VALUE!</v>
      </c>
      <c r="M94" s="98">
        <v>72.138000000000005</v>
      </c>
      <c r="N94" s="98"/>
      <c r="O94" s="55" t="e">
        <f t="shared" si="26"/>
        <v>#VALUE!</v>
      </c>
      <c r="P94" s="93" t="e">
        <f t="shared" si="37"/>
        <v>#VALUE!</v>
      </c>
      <c r="Q94" s="55">
        <f t="shared" si="27"/>
        <v>37.621105246922241</v>
      </c>
      <c r="R94" s="69" t="e">
        <f t="shared" si="28"/>
        <v>#VALUE!</v>
      </c>
      <c r="S94" s="94" t="e">
        <f t="shared" si="29"/>
        <v>#VALUE!</v>
      </c>
      <c r="T94" s="55" t="e">
        <f t="shared" si="38"/>
        <v>#VALUE!</v>
      </c>
      <c r="U94" s="55">
        <f t="shared" si="39"/>
        <v>3.5</v>
      </c>
    </row>
    <row r="95" spans="1:21" ht="15.5" x14ac:dyDescent="0.35">
      <c r="A95" s="95">
        <f t="shared" si="33"/>
        <v>-59</v>
      </c>
      <c r="B95" s="89">
        <f t="shared" si="21"/>
        <v>86.399999999999977</v>
      </c>
      <c r="C95" s="55" t="e">
        <f t="shared" si="30"/>
        <v>#VALUE!</v>
      </c>
      <c r="D95" s="55" t="e">
        <f t="shared" si="22"/>
        <v>#VALUE!</v>
      </c>
      <c r="E95" s="55" t="e">
        <f t="shared" si="34"/>
        <v>#VALUE!</v>
      </c>
      <c r="F95" s="64">
        <f t="shared" si="31"/>
        <v>2031.3119999999992</v>
      </c>
      <c r="G95" s="64">
        <f t="shared" si="32"/>
        <v>1958.1739999999993</v>
      </c>
      <c r="H95" s="96" t="e">
        <f t="shared" si="35"/>
        <v>#VALUE!</v>
      </c>
      <c r="I95" s="96" t="e">
        <f t="shared" si="36"/>
        <v>#VALUE!</v>
      </c>
      <c r="J95" s="55" t="e">
        <f t="shared" si="23"/>
        <v>#VALUE!</v>
      </c>
      <c r="K95" s="97" t="e">
        <f t="shared" si="24"/>
        <v>#VALUE!</v>
      </c>
      <c r="L95" s="92" t="e">
        <f t="shared" si="25"/>
        <v>#VALUE!</v>
      </c>
      <c r="M95" s="98">
        <v>73.138000000000005</v>
      </c>
      <c r="N95" s="98"/>
      <c r="O95" s="55" t="e">
        <f t="shared" si="26"/>
        <v>#VALUE!</v>
      </c>
      <c r="P95" s="93" t="e">
        <f t="shared" si="37"/>
        <v>#VALUE!</v>
      </c>
      <c r="Q95" s="55">
        <f t="shared" si="27"/>
        <v>37.880965668789386</v>
      </c>
      <c r="R95" s="69" t="e">
        <f t="shared" si="28"/>
        <v>#VALUE!</v>
      </c>
      <c r="S95" s="94" t="e">
        <f t="shared" si="29"/>
        <v>#VALUE!</v>
      </c>
      <c r="T95" s="55" t="e">
        <f t="shared" si="38"/>
        <v>#VALUE!</v>
      </c>
      <c r="U95" s="55">
        <f t="shared" si="39"/>
        <v>3.5</v>
      </c>
    </row>
    <row r="96" spans="1:21" ht="15.5" x14ac:dyDescent="0.35">
      <c r="A96" s="95">
        <f t="shared" si="33"/>
        <v>-60</v>
      </c>
      <c r="B96" s="89">
        <f t="shared" si="21"/>
        <v>82.799999999999983</v>
      </c>
      <c r="C96" s="55" t="e">
        <f t="shared" si="30"/>
        <v>#VALUE!</v>
      </c>
      <c r="D96" s="55" t="e">
        <f t="shared" si="22"/>
        <v>#VALUE!</v>
      </c>
      <c r="E96" s="55" t="e">
        <f t="shared" si="34"/>
        <v>#VALUE!</v>
      </c>
      <c r="F96" s="64">
        <f t="shared" si="31"/>
        <v>1958.1739999999993</v>
      </c>
      <c r="G96" s="64">
        <f t="shared" si="32"/>
        <v>1884.0359999999994</v>
      </c>
      <c r="H96" s="96" t="e">
        <f t="shared" si="35"/>
        <v>#VALUE!</v>
      </c>
      <c r="I96" s="96" t="e">
        <f t="shared" si="36"/>
        <v>#VALUE!</v>
      </c>
      <c r="J96" s="55" t="e">
        <f t="shared" si="23"/>
        <v>#VALUE!</v>
      </c>
      <c r="K96" s="97" t="e">
        <f t="shared" si="24"/>
        <v>#VALUE!</v>
      </c>
      <c r="L96" s="92" t="e">
        <f t="shared" si="25"/>
        <v>#VALUE!</v>
      </c>
      <c r="M96" s="98">
        <v>74.138000000000005</v>
      </c>
      <c r="N96" s="98"/>
      <c r="O96" s="55" t="e">
        <f t="shared" si="26"/>
        <v>#VALUE!</v>
      </c>
      <c r="P96" s="93" t="e">
        <f t="shared" si="37"/>
        <v>#VALUE!</v>
      </c>
      <c r="Q96" s="55">
        <f t="shared" si="27"/>
        <v>38.139055572994991</v>
      </c>
      <c r="R96" s="69" t="e">
        <f t="shared" si="28"/>
        <v>#VALUE!</v>
      </c>
      <c r="S96" s="94" t="e">
        <f t="shared" si="29"/>
        <v>#VALUE!</v>
      </c>
      <c r="T96" s="55" t="e">
        <f t="shared" si="38"/>
        <v>#VALUE!</v>
      </c>
      <c r="U96" s="55">
        <f t="shared" si="39"/>
        <v>3.5</v>
      </c>
    </row>
    <row r="97" spans="1:21" ht="15.5" x14ac:dyDescent="0.35">
      <c r="A97" s="95">
        <f t="shared" si="33"/>
        <v>-61</v>
      </c>
      <c r="B97" s="89">
        <f t="shared" si="21"/>
        <v>79.199999999999989</v>
      </c>
      <c r="C97" s="55" t="e">
        <f t="shared" si="30"/>
        <v>#VALUE!</v>
      </c>
      <c r="D97" s="55" t="e">
        <f t="shared" si="22"/>
        <v>#VALUE!</v>
      </c>
      <c r="E97" s="55" t="e">
        <f t="shared" si="34"/>
        <v>#VALUE!</v>
      </c>
      <c r="F97" s="64">
        <f t="shared" si="31"/>
        <v>1884.0359999999994</v>
      </c>
      <c r="G97" s="64">
        <f t="shared" si="32"/>
        <v>1808.8979999999995</v>
      </c>
      <c r="H97" s="96" t="e">
        <f t="shared" si="35"/>
        <v>#VALUE!</v>
      </c>
      <c r="I97" s="96" t="e">
        <f t="shared" si="36"/>
        <v>#VALUE!</v>
      </c>
      <c r="J97" s="55" t="e">
        <f t="shared" si="23"/>
        <v>#VALUE!</v>
      </c>
      <c r="K97" s="97" t="e">
        <f t="shared" si="24"/>
        <v>#VALUE!</v>
      </c>
      <c r="L97" s="92" t="e">
        <f t="shared" si="25"/>
        <v>#VALUE!</v>
      </c>
      <c r="M97" s="98">
        <v>75.138000000000005</v>
      </c>
      <c r="N97" s="98"/>
      <c r="O97" s="55" t="e">
        <f t="shared" si="26"/>
        <v>#VALUE!</v>
      </c>
      <c r="P97" s="93" t="e">
        <f t="shared" si="37"/>
        <v>#VALUE!</v>
      </c>
      <c r="Q97" s="55">
        <f t="shared" si="27"/>
        <v>38.395410663255056</v>
      </c>
      <c r="R97" s="69" t="e">
        <f t="shared" si="28"/>
        <v>#VALUE!</v>
      </c>
      <c r="S97" s="94" t="e">
        <f t="shared" si="29"/>
        <v>#VALUE!</v>
      </c>
      <c r="T97" s="55" t="e">
        <f t="shared" si="38"/>
        <v>#VALUE!</v>
      </c>
      <c r="U97" s="55">
        <f t="shared" si="39"/>
        <v>3.5</v>
      </c>
    </row>
    <row r="98" spans="1:21" ht="15.5" x14ac:dyDescent="0.35">
      <c r="A98" s="95">
        <f t="shared" si="33"/>
        <v>-62</v>
      </c>
      <c r="B98" s="89">
        <f t="shared" si="21"/>
        <v>75.599999999999994</v>
      </c>
      <c r="C98" s="55" t="e">
        <f t="shared" si="30"/>
        <v>#VALUE!</v>
      </c>
      <c r="D98" s="55" t="e">
        <f t="shared" si="22"/>
        <v>#VALUE!</v>
      </c>
      <c r="E98" s="55" t="e">
        <f t="shared" si="34"/>
        <v>#VALUE!</v>
      </c>
      <c r="F98" s="64">
        <f t="shared" si="31"/>
        <v>1808.8979999999995</v>
      </c>
      <c r="G98" s="64">
        <f t="shared" si="32"/>
        <v>1732.7599999999995</v>
      </c>
      <c r="H98" s="96" t="e">
        <f t="shared" si="35"/>
        <v>#VALUE!</v>
      </c>
      <c r="I98" s="96" t="e">
        <f t="shared" si="36"/>
        <v>#VALUE!</v>
      </c>
      <c r="J98" s="55" t="e">
        <f t="shared" si="23"/>
        <v>#VALUE!</v>
      </c>
      <c r="K98" s="97" t="e">
        <f t="shared" si="24"/>
        <v>#VALUE!</v>
      </c>
      <c r="L98" s="92" t="e">
        <f t="shared" si="25"/>
        <v>#VALUE!</v>
      </c>
      <c r="M98" s="98">
        <v>76.138000000000005</v>
      </c>
      <c r="N98" s="98"/>
      <c r="O98" s="55" t="e">
        <f t="shared" si="26"/>
        <v>#VALUE!</v>
      </c>
      <c r="P98" s="93" t="e">
        <f t="shared" si="37"/>
        <v>#VALUE!</v>
      </c>
      <c r="Q98" s="55">
        <f t="shared" si="27"/>
        <v>38.650065459194245</v>
      </c>
      <c r="R98" s="69" t="e">
        <f t="shared" si="28"/>
        <v>#VALUE!</v>
      </c>
      <c r="S98" s="94" t="e">
        <f t="shared" si="29"/>
        <v>#VALUE!</v>
      </c>
      <c r="T98" s="55" t="e">
        <f t="shared" si="38"/>
        <v>#VALUE!</v>
      </c>
      <c r="U98" s="55">
        <f t="shared" si="39"/>
        <v>3.5</v>
      </c>
    </row>
    <row r="99" spans="1:21" ht="15.5" x14ac:dyDescent="0.35">
      <c r="A99" s="95">
        <f t="shared" si="33"/>
        <v>-63</v>
      </c>
      <c r="B99" s="89">
        <f t="shared" si="21"/>
        <v>72</v>
      </c>
      <c r="C99" s="55" t="e">
        <f t="shared" si="30"/>
        <v>#VALUE!</v>
      </c>
      <c r="D99" s="55" t="e">
        <f t="shared" si="22"/>
        <v>#VALUE!</v>
      </c>
      <c r="E99" s="55" t="e">
        <f t="shared" si="34"/>
        <v>#VALUE!</v>
      </c>
      <c r="F99" s="64">
        <f t="shared" si="31"/>
        <v>1732.7599999999995</v>
      </c>
      <c r="G99" s="64">
        <f t="shared" si="32"/>
        <v>1655.6219999999996</v>
      </c>
      <c r="H99" s="96" t="e">
        <f t="shared" si="35"/>
        <v>#VALUE!</v>
      </c>
      <c r="I99" s="96" t="e">
        <f t="shared" si="36"/>
        <v>#VALUE!</v>
      </c>
      <c r="J99" s="55" t="e">
        <f t="shared" si="23"/>
        <v>#VALUE!</v>
      </c>
      <c r="K99" s="97" t="e">
        <f t="shared" si="24"/>
        <v>#VALUE!</v>
      </c>
      <c r="L99" s="92" t="e">
        <f t="shared" si="25"/>
        <v>#VALUE!</v>
      </c>
      <c r="M99" s="98">
        <v>77.138000000000005</v>
      </c>
      <c r="N99" s="98"/>
      <c r="O99" s="55" t="e">
        <f t="shared" si="26"/>
        <v>#VALUE!</v>
      </c>
      <c r="P99" s="93" t="e">
        <f t="shared" si="37"/>
        <v>#VALUE!</v>
      </c>
      <c r="Q99" s="55">
        <f t="shared" si="27"/>
        <v>38.903053350604758</v>
      </c>
      <c r="R99" s="69" t="e">
        <f t="shared" si="28"/>
        <v>#VALUE!</v>
      </c>
      <c r="S99" s="94" t="e">
        <f t="shared" si="29"/>
        <v>#VALUE!</v>
      </c>
      <c r="T99" s="55" t="e">
        <f t="shared" si="38"/>
        <v>#VALUE!</v>
      </c>
      <c r="U99" s="55">
        <f t="shared" si="39"/>
        <v>3.5</v>
      </c>
    </row>
    <row r="100" spans="1:21" ht="15.5" x14ac:dyDescent="0.35">
      <c r="A100" s="95">
        <f t="shared" si="33"/>
        <v>-64</v>
      </c>
      <c r="B100" s="89">
        <f t="shared" si="21"/>
        <v>68.400000000000006</v>
      </c>
      <c r="C100" s="55" t="e">
        <f t="shared" si="30"/>
        <v>#VALUE!</v>
      </c>
      <c r="D100" s="55" t="e">
        <f t="shared" si="22"/>
        <v>#VALUE!</v>
      </c>
      <c r="E100" s="55" t="e">
        <f t="shared" si="34"/>
        <v>#VALUE!</v>
      </c>
      <c r="F100" s="64">
        <f t="shared" si="31"/>
        <v>1655.6219999999996</v>
      </c>
      <c r="G100" s="64">
        <f t="shared" si="32"/>
        <v>1577.4839999999997</v>
      </c>
      <c r="H100" s="96" t="e">
        <f t="shared" si="35"/>
        <v>#VALUE!</v>
      </c>
      <c r="I100" s="96" t="e">
        <f t="shared" si="36"/>
        <v>#VALUE!</v>
      </c>
      <c r="J100" s="55" t="e">
        <f t="shared" si="23"/>
        <v>#VALUE!</v>
      </c>
      <c r="K100" s="97" t="e">
        <f t="shared" si="24"/>
        <v>#VALUE!</v>
      </c>
      <c r="L100" s="92" t="e">
        <f t="shared" si="25"/>
        <v>#VALUE!</v>
      </c>
      <c r="M100" s="98">
        <v>78.138000000000005</v>
      </c>
      <c r="N100" s="98"/>
      <c r="O100" s="55" t="e">
        <f t="shared" si="26"/>
        <v>#VALUE!</v>
      </c>
      <c r="P100" s="93" t="e">
        <f t="shared" si="37"/>
        <v>#VALUE!</v>
      </c>
      <c r="Q100" s="55">
        <f t="shared" si="27"/>
        <v>39.154406648549795</v>
      </c>
      <c r="R100" s="69" t="e">
        <f t="shared" si="28"/>
        <v>#VALUE!</v>
      </c>
      <c r="S100" s="94" t="e">
        <f t="shared" si="29"/>
        <v>#VALUE!</v>
      </c>
      <c r="T100" s="55" t="e">
        <f t="shared" si="38"/>
        <v>#VALUE!</v>
      </c>
      <c r="U100" s="55">
        <f t="shared" si="39"/>
        <v>3.5</v>
      </c>
    </row>
    <row r="101" spans="1:21" ht="15.5" x14ac:dyDescent="0.35">
      <c r="A101" s="95">
        <f t="shared" si="33"/>
        <v>-65</v>
      </c>
      <c r="B101" s="89">
        <f t="shared" si="21"/>
        <v>64.800000000000011</v>
      </c>
      <c r="C101" s="55" t="e">
        <f t="shared" si="30"/>
        <v>#VALUE!</v>
      </c>
      <c r="D101" s="55" t="e">
        <f t="shared" si="22"/>
        <v>#VALUE!</v>
      </c>
      <c r="E101" s="55" t="e">
        <f t="shared" si="34"/>
        <v>#VALUE!</v>
      </c>
      <c r="F101" s="64">
        <f t="shared" si="31"/>
        <v>1577.4839999999997</v>
      </c>
      <c r="G101" s="64">
        <f t="shared" si="32"/>
        <v>1498.3459999999998</v>
      </c>
      <c r="H101" s="96" t="e">
        <f t="shared" si="35"/>
        <v>#VALUE!</v>
      </c>
      <c r="I101" s="96" t="e">
        <f t="shared" si="36"/>
        <v>#VALUE!</v>
      </c>
      <c r="J101" s="55" t="e">
        <f t="shared" si="23"/>
        <v>#VALUE!</v>
      </c>
      <c r="K101" s="97" t="e">
        <f t="shared" si="24"/>
        <v>#VALUE!</v>
      </c>
      <c r="L101" s="92" t="e">
        <f t="shared" si="25"/>
        <v>#VALUE!</v>
      </c>
      <c r="M101" s="98">
        <v>79.138000000000005</v>
      </c>
      <c r="N101" s="98"/>
      <c r="O101" s="55" t="e">
        <f t="shared" si="26"/>
        <v>#VALUE!</v>
      </c>
      <c r="P101" s="93" t="e">
        <f t="shared" si="37"/>
        <v>#VALUE!</v>
      </c>
      <c r="Q101" s="55">
        <f t="shared" si="27"/>
        <v>39.404156633532963</v>
      </c>
      <c r="R101" s="69" t="e">
        <f t="shared" si="28"/>
        <v>#VALUE!</v>
      </c>
      <c r="S101" s="94" t="e">
        <f t="shared" si="29"/>
        <v>#VALUE!</v>
      </c>
      <c r="T101" s="55" t="e">
        <f t="shared" si="38"/>
        <v>#VALUE!</v>
      </c>
      <c r="U101" s="55">
        <f t="shared" si="39"/>
        <v>3.5</v>
      </c>
    </row>
    <row r="102" spans="1:21" ht="15.5" x14ac:dyDescent="0.35">
      <c r="A102" s="95">
        <f t="shared" si="33"/>
        <v>-66</v>
      </c>
      <c r="B102" s="89">
        <f t="shared" si="21"/>
        <v>61.200000000000017</v>
      </c>
      <c r="C102" s="55" t="e">
        <f t="shared" si="30"/>
        <v>#VALUE!</v>
      </c>
      <c r="D102" s="55" t="e">
        <f t="shared" si="22"/>
        <v>#VALUE!</v>
      </c>
      <c r="E102" s="55" t="e">
        <f t="shared" si="34"/>
        <v>#VALUE!</v>
      </c>
      <c r="F102" s="64">
        <f t="shared" si="31"/>
        <v>1498.3459999999998</v>
      </c>
      <c r="G102" s="64">
        <f t="shared" si="32"/>
        <v>1418.2079999999999</v>
      </c>
      <c r="H102" s="96" t="e">
        <f t="shared" si="35"/>
        <v>#VALUE!</v>
      </c>
      <c r="I102" s="96" t="e">
        <f t="shared" si="36"/>
        <v>#VALUE!</v>
      </c>
      <c r="J102" s="55" t="e">
        <f t="shared" si="23"/>
        <v>#VALUE!</v>
      </c>
      <c r="K102" s="97" t="e">
        <f t="shared" si="24"/>
        <v>#VALUE!</v>
      </c>
      <c r="L102" s="92" t="e">
        <f t="shared" si="25"/>
        <v>#VALUE!</v>
      </c>
      <c r="M102" s="98">
        <v>80.138000000000005</v>
      </c>
      <c r="N102" s="98"/>
      <c r="O102" s="55" t="e">
        <f t="shared" si="26"/>
        <v>#VALUE!</v>
      </c>
      <c r="P102" s="93" t="e">
        <f t="shared" si="37"/>
        <v>#VALUE!</v>
      </c>
      <c r="Q102" s="55">
        <f t="shared" si="27"/>
        <v>39.652333600937034</v>
      </c>
      <c r="R102" s="69" t="e">
        <f t="shared" si="28"/>
        <v>#VALUE!</v>
      </c>
      <c r="S102" s="94" t="e">
        <f t="shared" si="29"/>
        <v>#VALUE!</v>
      </c>
      <c r="T102" s="55" t="e">
        <f t="shared" si="38"/>
        <v>#VALUE!</v>
      </c>
      <c r="U102" s="55">
        <f t="shared" si="39"/>
        <v>3.5</v>
      </c>
    </row>
    <row r="103" spans="1:21" ht="15.5" x14ac:dyDescent="0.35">
      <c r="A103" s="95">
        <f t="shared" si="33"/>
        <v>-67</v>
      </c>
      <c r="B103" s="89">
        <f t="shared" si="21"/>
        <v>57.600000000000016</v>
      </c>
      <c r="C103" s="55" t="e">
        <f t="shared" si="30"/>
        <v>#VALUE!</v>
      </c>
      <c r="D103" s="55" t="e">
        <f t="shared" si="22"/>
        <v>#VALUE!</v>
      </c>
      <c r="E103" s="55" t="e">
        <f t="shared" si="34"/>
        <v>#VALUE!</v>
      </c>
      <c r="F103" s="64">
        <f t="shared" si="31"/>
        <v>1418.2079999999999</v>
      </c>
      <c r="G103" s="64">
        <f t="shared" si="32"/>
        <v>1337.07</v>
      </c>
      <c r="H103" s="96" t="e">
        <f t="shared" si="35"/>
        <v>#VALUE!</v>
      </c>
      <c r="I103" s="96" t="e">
        <f t="shared" si="36"/>
        <v>#VALUE!</v>
      </c>
      <c r="J103" s="55" t="e">
        <f t="shared" si="23"/>
        <v>#VALUE!</v>
      </c>
      <c r="K103" s="97" t="e">
        <f t="shared" si="24"/>
        <v>#VALUE!</v>
      </c>
      <c r="L103" s="92" t="e">
        <f t="shared" si="25"/>
        <v>#VALUE!</v>
      </c>
      <c r="M103" s="98">
        <v>81.138000000000005</v>
      </c>
      <c r="N103" s="98"/>
      <c r="O103" s="55" t="e">
        <f t="shared" si="26"/>
        <v>#VALUE!</v>
      </c>
      <c r="P103" s="93" t="e">
        <f t="shared" si="37"/>
        <v>#VALUE!</v>
      </c>
      <c r="Q103" s="55">
        <f t="shared" si="27"/>
        <v>39.898966903918705</v>
      </c>
      <c r="R103" s="69" t="e">
        <f t="shared" si="28"/>
        <v>#VALUE!</v>
      </c>
      <c r="S103" s="94" t="e">
        <f t="shared" si="29"/>
        <v>#VALUE!</v>
      </c>
      <c r="T103" s="55" t="e">
        <f t="shared" si="38"/>
        <v>#VALUE!</v>
      </c>
      <c r="U103" s="55">
        <f t="shared" si="39"/>
        <v>3.5</v>
      </c>
    </row>
    <row r="104" spans="1:21" ht="15.5" x14ac:dyDescent="0.35">
      <c r="A104" s="95">
        <f t="shared" si="33"/>
        <v>-68</v>
      </c>
      <c r="B104" s="89">
        <f t="shared" si="21"/>
        <v>54.000000000000014</v>
      </c>
      <c r="C104" s="55" t="e">
        <f t="shared" si="30"/>
        <v>#VALUE!</v>
      </c>
      <c r="D104" s="55" t="e">
        <f t="shared" si="22"/>
        <v>#VALUE!</v>
      </c>
      <c r="E104" s="55" t="e">
        <f t="shared" si="34"/>
        <v>#VALUE!</v>
      </c>
      <c r="F104" s="64">
        <f t="shared" si="31"/>
        <v>1337.07</v>
      </c>
      <c r="G104" s="64">
        <f t="shared" si="32"/>
        <v>1254.932</v>
      </c>
      <c r="H104" s="96" t="e">
        <f t="shared" si="35"/>
        <v>#VALUE!</v>
      </c>
      <c r="I104" s="96" t="e">
        <f t="shared" si="36"/>
        <v>#VALUE!</v>
      </c>
      <c r="J104" s="55" t="e">
        <f t="shared" si="23"/>
        <v>#VALUE!</v>
      </c>
      <c r="K104" s="97" t="e">
        <f t="shared" si="24"/>
        <v>#VALUE!</v>
      </c>
      <c r="L104" s="92" t="e">
        <f t="shared" si="25"/>
        <v>#VALUE!</v>
      </c>
      <c r="M104" s="98">
        <v>82.138000000000005</v>
      </c>
      <c r="N104" s="98"/>
      <c r="O104" s="55" t="e">
        <f t="shared" si="26"/>
        <v>#VALUE!</v>
      </c>
      <c r="P104" s="93" t="e">
        <f t="shared" si="37"/>
        <v>#VALUE!</v>
      </c>
      <c r="Q104" s="55">
        <f t="shared" si="27"/>
        <v>40.14408499393155</v>
      </c>
      <c r="R104" s="69" t="e">
        <f t="shared" si="28"/>
        <v>#VALUE!</v>
      </c>
      <c r="S104" s="94" t="e">
        <f t="shared" si="29"/>
        <v>#VALUE!</v>
      </c>
      <c r="T104" s="55" t="e">
        <f t="shared" si="38"/>
        <v>#VALUE!</v>
      </c>
      <c r="U104" s="55">
        <f t="shared" si="39"/>
        <v>3.5</v>
      </c>
    </row>
    <row r="105" spans="1:21" ht="15.5" x14ac:dyDescent="0.35">
      <c r="A105" s="95">
        <f t="shared" si="33"/>
        <v>-69</v>
      </c>
      <c r="B105" s="89">
        <f t="shared" si="21"/>
        <v>50.400000000000013</v>
      </c>
      <c r="C105" s="55" t="e">
        <f t="shared" si="30"/>
        <v>#VALUE!</v>
      </c>
      <c r="D105" s="55" t="e">
        <f t="shared" si="22"/>
        <v>#VALUE!</v>
      </c>
      <c r="E105" s="55" t="e">
        <f t="shared" si="34"/>
        <v>#VALUE!</v>
      </c>
      <c r="F105" s="64">
        <f t="shared" si="31"/>
        <v>1254.932</v>
      </c>
      <c r="G105" s="64">
        <f t="shared" si="32"/>
        <v>1171.7940000000001</v>
      </c>
      <c r="H105" s="96" t="e">
        <f t="shared" si="35"/>
        <v>#VALUE!</v>
      </c>
      <c r="I105" s="96" t="e">
        <f t="shared" si="36"/>
        <v>#VALUE!</v>
      </c>
      <c r="J105" s="55" t="e">
        <f t="shared" si="23"/>
        <v>#VALUE!</v>
      </c>
      <c r="K105" s="97" t="e">
        <f t="shared" si="24"/>
        <v>#VALUE!</v>
      </c>
      <c r="L105" s="92" t="e">
        <f t="shared" si="25"/>
        <v>#VALUE!</v>
      </c>
      <c r="M105" s="98">
        <v>83.138000000000005</v>
      </c>
      <c r="N105" s="98"/>
      <c r="O105" s="55" t="e">
        <f t="shared" si="26"/>
        <v>#VALUE!</v>
      </c>
      <c r="P105" s="93" t="e">
        <f t="shared" si="37"/>
        <v>#VALUE!</v>
      </c>
      <c r="Q105" s="55">
        <f t="shared" si="27"/>
        <v>40.387715459035313</v>
      </c>
      <c r="R105" s="69" t="e">
        <f t="shared" si="28"/>
        <v>#VALUE!</v>
      </c>
      <c r="S105" s="94" t="e">
        <f t="shared" si="29"/>
        <v>#VALUE!</v>
      </c>
      <c r="T105" s="55" t="e">
        <f t="shared" si="38"/>
        <v>#VALUE!</v>
      </c>
      <c r="U105" s="55">
        <f t="shared" si="39"/>
        <v>3.5</v>
      </c>
    </row>
    <row r="106" spans="1:21" ht="15.5" x14ac:dyDescent="0.35">
      <c r="A106" s="95">
        <f t="shared" si="33"/>
        <v>-70</v>
      </c>
      <c r="B106" s="89">
        <f t="shared" si="21"/>
        <v>46.800000000000011</v>
      </c>
      <c r="C106" s="55" t="e">
        <f t="shared" si="30"/>
        <v>#VALUE!</v>
      </c>
      <c r="D106" s="55" t="e">
        <f t="shared" si="22"/>
        <v>#VALUE!</v>
      </c>
      <c r="E106" s="55" t="e">
        <f t="shared" si="34"/>
        <v>#VALUE!</v>
      </c>
      <c r="F106" s="64">
        <f t="shared" si="31"/>
        <v>1171.7940000000001</v>
      </c>
      <c r="G106" s="64">
        <f t="shared" si="32"/>
        <v>1087.6560000000002</v>
      </c>
      <c r="H106" s="96" t="e">
        <f t="shared" si="35"/>
        <v>#VALUE!</v>
      </c>
      <c r="I106" s="96" t="e">
        <f t="shared" si="36"/>
        <v>#VALUE!</v>
      </c>
      <c r="J106" s="55" t="e">
        <f t="shared" si="23"/>
        <v>#VALUE!</v>
      </c>
      <c r="K106" s="97" t="e">
        <f t="shared" si="24"/>
        <v>#VALUE!</v>
      </c>
      <c r="L106" s="92" t="e">
        <f t="shared" si="25"/>
        <v>#VALUE!</v>
      </c>
      <c r="M106" s="98">
        <v>84.138000000000005</v>
      </c>
      <c r="N106" s="98"/>
      <c r="O106" s="55" t="e">
        <f t="shared" si="26"/>
        <v>#VALUE!</v>
      </c>
      <c r="P106" s="93" t="e">
        <f t="shared" si="37"/>
        <v>#VALUE!</v>
      </c>
      <c r="Q106" s="55">
        <f t="shared" si="27"/>
        <v>40.629885060137696</v>
      </c>
      <c r="R106" s="69" t="e">
        <f t="shared" si="28"/>
        <v>#VALUE!</v>
      </c>
      <c r="S106" s="94" t="e">
        <f t="shared" si="29"/>
        <v>#VALUE!</v>
      </c>
      <c r="T106" s="55" t="e">
        <f t="shared" si="38"/>
        <v>#VALUE!</v>
      </c>
      <c r="U106" s="55">
        <f t="shared" si="39"/>
        <v>3.5</v>
      </c>
    </row>
    <row r="107" spans="1:21" ht="15.5" x14ac:dyDescent="0.35">
      <c r="A107" s="95">
        <f t="shared" si="33"/>
        <v>-71</v>
      </c>
      <c r="B107" s="89">
        <f t="shared" si="21"/>
        <v>43.20000000000001</v>
      </c>
      <c r="C107" s="55" t="e">
        <f t="shared" si="30"/>
        <v>#VALUE!</v>
      </c>
      <c r="D107" s="55" t="e">
        <f t="shared" si="22"/>
        <v>#VALUE!</v>
      </c>
      <c r="E107" s="55" t="e">
        <f t="shared" si="34"/>
        <v>#VALUE!</v>
      </c>
      <c r="F107" s="64">
        <f t="shared" si="31"/>
        <v>1087.6560000000002</v>
      </c>
      <c r="G107" s="64">
        <f t="shared" si="32"/>
        <v>1002.5180000000003</v>
      </c>
      <c r="H107" s="96" t="e">
        <f t="shared" si="35"/>
        <v>#VALUE!</v>
      </c>
      <c r="I107" s="96" t="e">
        <f t="shared" si="36"/>
        <v>#VALUE!</v>
      </c>
      <c r="J107" s="55" t="e">
        <f t="shared" si="23"/>
        <v>#VALUE!</v>
      </c>
      <c r="K107" s="97" t="e">
        <f t="shared" si="24"/>
        <v>#VALUE!</v>
      </c>
      <c r="L107" s="92" t="e">
        <f t="shared" si="25"/>
        <v>#VALUE!</v>
      </c>
      <c r="M107" s="98">
        <v>85.138000000000005</v>
      </c>
      <c r="N107" s="98"/>
      <c r="O107" s="55" t="e">
        <f t="shared" si="26"/>
        <v>#VALUE!</v>
      </c>
      <c r="P107" s="93" t="e">
        <f t="shared" si="37"/>
        <v>#VALUE!</v>
      </c>
      <c r="Q107" s="55">
        <f t="shared" si="27"/>
        <v>40.870619765303289</v>
      </c>
      <c r="R107" s="69" t="e">
        <f t="shared" si="28"/>
        <v>#VALUE!</v>
      </c>
      <c r="S107" s="94" t="e">
        <f t="shared" si="29"/>
        <v>#VALUE!</v>
      </c>
      <c r="T107" s="55" t="e">
        <f t="shared" si="38"/>
        <v>#VALUE!</v>
      </c>
      <c r="U107" s="55">
        <f t="shared" si="39"/>
        <v>3.5</v>
      </c>
    </row>
    <row r="108" spans="1:21" ht="15.5" x14ac:dyDescent="0.35">
      <c r="A108" s="95">
        <f t="shared" si="33"/>
        <v>-72</v>
      </c>
      <c r="B108" s="89">
        <f t="shared" si="21"/>
        <v>39.600000000000009</v>
      </c>
      <c r="C108" s="55" t="e">
        <f t="shared" si="30"/>
        <v>#VALUE!</v>
      </c>
      <c r="D108" s="55" t="e">
        <f t="shared" si="22"/>
        <v>#VALUE!</v>
      </c>
      <c r="E108" s="55" t="e">
        <f t="shared" si="34"/>
        <v>#VALUE!</v>
      </c>
      <c r="F108" s="64">
        <f t="shared" si="31"/>
        <v>1002.5180000000003</v>
      </c>
      <c r="G108" s="64">
        <f t="shared" si="32"/>
        <v>916.38000000000022</v>
      </c>
      <c r="H108" s="96" t="e">
        <f t="shared" si="35"/>
        <v>#VALUE!</v>
      </c>
      <c r="I108" s="96" t="e">
        <f t="shared" si="36"/>
        <v>#VALUE!</v>
      </c>
      <c r="J108" s="55" t="e">
        <f t="shared" si="23"/>
        <v>#VALUE!</v>
      </c>
      <c r="K108" s="97" t="e">
        <f t="shared" si="24"/>
        <v>#VALUE!</v>
      </c>
      <c r="L108" s="92" t="e">
        <f t="shared" si="25"/>
        <v>#VALUE!</v>
      </c>
      <c r="M108" s="98">
        <v>86.138000000000005</v>
      </c>
      <c r="N108" s="98"/>
      <c r="O108" s="55" t="e">
        <f t="shared" si="26"/>
        <v>#VALUE!</v>
      </c>
      <c r="P108" s="93" t="e">
        <f t="shared" si="37"/>
        <v>#VALUE!</v>
      </c>
      <c r="Q108" s="55">
        <f t="shared" si="27"/>
        <v>41.109944782254331</v>
      </c>
      <c r="R108" s="69" t="e">
        <f t="shared" si="28"/>
        <v>#VALUE!</v>
      </c>
      <c r="S108" s="94" t="e">
        <f t="shared" si="29"/>
        <v>#VALUE!</v>
      </c>
      <c r="T108" s="55" t="e">
        <f t="shared" si="38"/>
        <v>#VALUE!</v>
      </c>
      <c r="U108" s="55">
        <f t="shared" si="39"/>
        <v>3.5</v>
      </c>
    </row>
    <row r="109" spans="1:21" ht="15.5" x14ac:dyDescent="0.35">
      <c r="A109" s="95">
        <f t="shared" si="33"/>
        <v>-73</v>
      </c>
      <c r="B109" s="89">
        <f t="shared" si="21"/>
        <v>36.000000000000007</v>
      </c>
      <c r="C109" s="55" t="e">
        <f t="shared" si="30"/>
        <v>#VALUE!</v>
      </c>
      <c r="D109" s="55" t="e">
        <f t="shared" si="22"/>
        <v>#VALUE!</v>
      </c>
      <c r="E109" s="55" t="e">
        <f t="shared" si="34"/>
        <v>#VALUE!</v>
      </c>
      <c r="F109" s="64">
        <f t="shared" si="31"/>
        <v>916.38000000000022</v>
      </c>
      <c r="G109" s="64">
        <f t="shared" si="32"/>
        <v>829.24200000000019</v>
      </c>
      <c r="H109" s="96" t="e">
        <f t="shared" si="35"/>
        <v>#VALUE!</v>
      </c>
      <c r="I109" s="96" t="e">
        <f t="shared" si="36"/>
        <v>#VALUE!</v>
      </c>
      <c r="J109" s="55" t="e">
        <f t="shared" si="23"/>
        <v>#VALUE!</v>
      </c>
      <c r="K109" s="97" t="e">
        <f t="shared" si="24"/>
        <v>#VALUE!</v>
      </c>
      <c r="L109" s="92" t="e">
        <f t="shared" si="25"/>
        <v>#VALUE!</v>
      </c>
      <c r="M109" s="98">
        <v>87.138000000000005</v>
      </c>
      <c r="N109" s="98"/>
      <c r="O109" s="55" t="e">
        <f t="shared" si="26"/>
        <v>#VALUE!</v>
      </c>
      <c r="P109" s="93" t="e">
        <f t="shared" si="37"/>
        <v>#VALUE!</v>
      </c>
      <c r="Q109" s="55">
        <f t="shared" si="27"/>
        <v>41.3478845891782</v>
      </c>
      <c r="R109" s="69" t="e">
        <f t="shared" si="28"/>
        <v>#VALUE!</v>
      </c>
      <c r="S109" s="94" t="e">
        <f t="shared" si="29"/>
        <v>#VALUE!</v>
      </c>
      <c r="T109" s="55" t="e">
        <f t="shared" si="38"/>
        <v>#VALUE!</v>
      </c>
      <c r="U109" s="55">
        <f t="shared" si="39"/>
        <v>3.5</v>
      </c>
    </row>
    <row r="110" spans="1:21" ht="15.5" x14ac:dyDescent="0.35">
      <c r="A110" s="95">
        <f t="shared" si="33"/>
        <v>-74</v>
      </c>
      <c r="B110" s="89">
        <f t="shared" si="21"/>
        <v>32.400000000000006</v>
      </c>
      <c r="C110" s="55" t="e">
        <f t="shared" si="30"/>
        <v>#VALUE!</v>
      </c>
      <c r="D110" s="55" t="e">
        <f t="shared" si="22"/>
        <v>#VALUE!</v>
      </c>
      <c r="E110" s="55" t="e">
        <f t="shared" si="34"/>
        <v>#VALUE!</v>
      </c>
      <c r="F110" s="64">
        <f t="shared" si="31"/>
        <v>829.24200000000019</v>
      </c>
      <c r="G110" s="64">
        <f t="shared" si="32"/>
        <v>741.10400000000016</v>
      </c>
      <c r="H110" s="96" t="e">
        <f t="shared" si="35"/>
        <v>#VALUE!</v>
      </c>
      <c r="I110" s="96" t="e">
        <f t="shared" si="36"/>
        <v>#VALUE!</v>
      </c>
      <c r="J110" s="55" t="e">
        <f t="shared" si="23"/>
        <v>#VALUE!</v>
      </c>
      <c r="K110" s="97" t="e">
        <f t="shared" si="24"/>
        <v>#VALUE!</v>
      </c>
      <c r="L110" s="92" t="e">
        <f t="shared" si="25"/>
        <v>#VALUE!</v>
      </c>
      <c r="M110" s="98">
        <v>88.138000000000005</v>
      </c>
      <c r="N110" s="98"/>
      <c r="O110" s="55" t="e">
        <f t="shared" si="26"/>
        <v>#VALUE!</v>
      </c>
      <c r="P110" s="93" t="e">
        <f t="shared" si="37"/>
        <v>#VALUE!</v>
      </c>
      <c r="Q110" s="55">
        <f t="shared" si="27"/>
        <v>41.584462963948447</v>
      </c>
      <c r="R110" s="69" t="e">
        <f t="shared" si="28"/>
        <v>#VALUE!</v>
      </c>
      <c r="S110" s="94" t="e">
        <f t="shared" si="29"/>
        <v>#VALUE!</v>
      </c>
      <c r="T110" s="55" t="e">
        <f t="shared" si="38"/>
        <v>#VALUE!</v>
      </c>
      <c r="U110" s="55">
        <f t="shared" si="39"/>
        <v>3.5</v>
      </c>
    </row>
    <row r="111" spans="1:21" ht="15.5" x14ac:dyDescent="0.35">
      <c r="A111" s="95">
        <f t="shared" si="33"/>
        <v>-75</v>
      </c>
      <c r="B111" s="89">
        <f t="shared" si="21"/>
        <v>28.800000000000004</v>
      </c>
      <c r="C111" s="55" t="e">
        <f t="shared" si="30"/>
        <v>#VALUE!</v>
      </c>
      <c r="D111" s="55" t="e">
        <f t="shared" si="22"/>
        <v>#VALUE!</v>
      </c>
      <c r="E111" s="55" t="e">
        <f t="shared" si="34"/>
        <v>#VALUE!</v>
      </c>
      <c r="F111" s="64">
        <f t="shared" si="31"/>
        <v>741.10400000000016</v>
      </c>
      <c r="G111" s="64">
        <f t="shared" si="32"/>
        <v>651.96600000000012</v>
      </c>
      <c r="H111" s="96" t="e">
        <f t="shared" si="35"/>
        <v>#VALUE!</v>
      </c>
      <c r="I111" s="96" t="e">
        <f t="shared" si="36"/>
        <v>#VALUE!</v>
      </c>
      <c r="J111" s="55" t="e">
        <f t="shared" si="23"/>
        <v>#VALUE!</v>
      </c>
      <c r="K111" s="97" t="e">
        <f t="shared" si="24"/>
        <v>#VALUE!</v>
      </c>
      <c r="L111" s="92" t="e">
        <f t="shared" si="25"/>
        <v>#VALUE!</v>
      </c>
      <c r="M111" s="98">
        <v>89.138000000000005</v>
      </c>
      <c r="N111" s="98"/>
      <c r="O111" s="55" t="e">
        <f t="shared" si="26"/>
        <v>#VALUE!</v>
      </c>
      <c r="P111" s="93" t="e">
        <f t="shared" si="37"/>
        <v>#VALUE!</v>
      </c>
      <c r="Q111" s="55">
        <f t="shared" si="27"/>
        <v>41.819703011857939</v>
      </c>
      <c r="R111" s="69" t="e">
        <f t="shared" si="28"/>
        <v>#VALUE!</v>
      </c>
      <c r="S111" s="94" t="e">
        <f t="shared" si="29"/>
        <v>#VALUE!</v>
      </c>
      <c r="T111" s="55" t="e">
        <f t="shared" si="38"/>
        <v>#VALUE!</v>
      </c>
      <c r="U111" s="55">
        <f t="shared" si="39"/>
        <v>3.5</v>
      </c>
    </row>
    <row r="112" spans="1:21" ht="15.5" x14ac:dyDescent="0.35">
      <c r="A112" s="95">
        <f t="shared" si="33"/>
        <v>-76</v>
      </c>
      <c r="B112" s="89">
        <f t="shared" si="21"/>
        <v>25.200000000000003</v>
      </c>
      <c r="C112" s="55" t="e">
        <f t="shared" si="30"/>
        <v>#VALUE!</v>
      </c>
      <c r="D112" s="55" t="e">
        <f t="shared" si="22"/>
        <v>#VALUE!</v>
      </c>
      <c r="E112" s="55" t="e">
        <f t="shared" si="34"/>
        <v>#VALUE!</v>
      </c>
      <c r="F112" s="64">
        <f t="shared" si="31"/>
        <v>651.96600000000012</v>
      </c>
      <c r="G112" s="64">
        <f t="shared" si="32"/>
        <v>561.82800000000009</v>
      </c>
      <c r="H112" s="96" t="e">
        <f t="shared" si="35"/>
        <v>#VALUE!</v>
      </c>
      <c r="I112" s="96" t="e">
        <f t="shared" si="36"/>
        <v>#VALUE!</v>
      </c>
      <c r="J112" s="55" t="e">
        <f t="shared" si="23"/>
        <v>#VALUE!</v>
      </c>
      <c r="K112" s="97" t="e">
        <f t="shared" si="24"/>
        <v>#VALUE!</v>
      </c>
      <c r="L112" s="92" t="e">
        <f t="shared" si="25"/>
        <v>#VALUE!</v>
      </c>
      <c r="M112" s="98">
        <v>90.138000000000005</v>
      </c>
      <c r="N112" s="98"/>
      <c r="O112" s="55" t="e">
        <f t="shared" si="26"/>
        <v>#VALUE!</v>
      </c>
      <c r="P112" s="93" t="e">
        <f t="shared" si="37"/>
        <v>#VALUE!</v>
      </c>
      <c r="Q112" s="55">
        <f t="shared" si="27"/>
        <v>42.053627191955755</v>
      </c>
      <c r="R112" s="69" t="e">
        <f t="shared" si="28"/>
        <v>#VALUE!</v>
      </c>
      <c r="S112" s="94" t="e">
        <f t="shared" si="29"/>
        <v>#VALUE!</v>
      </c>
      <c r="T112" s="55" t="e">
        <f t="shared" si="38"/>
        <v>#VALUE!</v>
      </c>
      <c r="U112" s="55">
        <f t="shared" si="39"/>
        <v>3.5</v>
      </c>
    </row>
    <row r="113" spans="1:23" ht="15.5" x14ac:dyDescent="0.35">
      <c r="A113" s="95">
        <f t="shared" si="33"/>
        <v>-77</v>
      </c>
      <c r="B113" s="89">
        <f t="shared" si="21"/>
        <v>21.6</v>
      </c>
      <c r="C113" s="55" t="e">
        <f t="shared" si="30"/>
        <v>#VALUE!</v>
      </c>
      <c r="D113" s="55" t="e">
        <f t="shared" si="22"/>
        <v>#VALUE!</v>
      </c>
      <c r="E113" s="55" t="e">
        <f t="shared" si="34"/>
        <v>#VALUE!</v>
      </c>
      <c r="F113" s="64">
        <f t="shared" si="31"/>
        <v>561.82800000000009</v>
      </c>
      <c r="G113" s="64">
        <f t="shared" si="32"/>
        <v>470.69000000000005</v>
      </c>
      <c r="H113" s="96" t="e">
        <f t="shared" si="35"/>
        <v>#VALUE!</v>
      </c>
      <c r="I113" s="96" t="e">
        <f t="shared" si="36"/>
        <v>#VALUE!</v>
      </c>
      <c r="J113" s="55" t="e">
        <f t="shared" si="23"/>
        <v>#VALUE!</v>
      </c>
      <c r="K113" s="97" t="e">
        <f t="shared" si="24"/>
        <v>#VALUE!</v>
      </c>
      <c r="L113" s="92" t="e">
        <f t="shared" si="25"/>
        <v>#VALUE!</v>
      </c>
      <c r="M113" s="98">
        <v>91.138000000000005</v>
      </c>
      <c r="N113" s="98"/>
      <c r="O113" s="55" t="e">
        <f t="shared" si="26"/>
        <v>#VALUE!</v>
      </c>
      <c r="P113" s="93" t="e">
        <f t="shared" si="37"/>
        <v>#VALUE!</v>
      </c>
      <c r="Q113" s="55">
        <f t="shared" si="27"/>
        <v>42.28625734207273</v>
      </c>
      <c r="R113" s="69" t="e">
        <f t="shared" si="28"/>
        <v>#VALUE!</v>
      </c>
      <c r="S113" s="94" t="e">
        <f t="shared" si="29"/>
        <v>#VALUE!</v>
      </c>
      <c r="T113" s="55" t="e">
        <f t="shared" si="38"/>
        <v>#VALUE!</v>
      </c>
      <c r="U113" s="55">
        <f t="shared" si="39"/>
        <v>3.5</v>
      </c>
    </row>
    <row r="114" spans="1:23" ht="15.5" x14ac:dyDescent="0.35">
      <c r="A114" s="95">
        <f t="shared" si="33"/>
        <v>-78</v>
      </c>
      <c r="B114" s="89">
        <f t="shared" si="21"/>
        <v>18</v>
      </c>
      <c r="C114" s="55" t="e">
        <f t="shared" si="30"/>
        <v>#VALUE!</v>
      </c>
      <c r="D114" s="55" t="e">
        <f t="shared" si="22"/>
        <v>#VALUE!</v>
      </c>
      <c r="E114" s="55" t="e">
        <f t="shared" si="34"/>
        <v>#VALUE!</v>
      </c>
      <c r="F114" s="64">
        <f t="shared" si="31"/>
        <v>470.69000000000005</v>
      </c>
      <c r="G114" s="64">
        <f t="shared" si="32"/>
        <v>378.55200000000002</v>
      </c>
      <c r="H114" s="96" t="e">
        <f t="shared" si="35"/>
        <v>#VALUE!</v>
      </c>
      <c r="I114" s="96" t="e">
        <f t="shared" si="36"/>
        <v>#VALUE!</v>
      </c>
      <c r="J114" s="55" t="e">
        <f t="shared" si="23"/>
        <v>#VALUE!</v>
      </c>
      <c r="K114" s="97" t="e">
        <f t="shared" si="24"/>
        <v>#VALUE!</v>
      </c>
      <c r="L114" s="92" t="e">
        <f t="shared" si="25"/>
        <v>#VALUE!</v>
      </c>
      <c r="M114" s="98">
        <v>92.138000000000005</v>
      </c>
      <c r="N114" s="98"/>
      <c r="O114" s="55" t="e">
        <f t="shared" si="26"/>
        <v>#VALUE!</v>
      </c>
      <c r="P114" s="93" t="e">
        <f t="shared" si="37"/>
        <v>#VALUE!</v>
      </c>
      <c r="Q114" s="55">
        <f t="shared" si="27"/>
        <v>42.517614702614729</v>
      </c>
      <c r="R114" s="69" t="e">
        <f t="shared" si="28"/>
        <v>#VALUE!</v>
      </c>
      <c r="S114" s="94" t="e">
        <f t="shared" si="29"/>
        <v>#VALUE!</v>
      </c>
      <c r="T114" s="55" t="e">
        <f t="shared" si="38"/>
        <v>#VALUE!</v>
      </c>
      <c r="U114" s="55">
        <f t="shared" si="39"/>
        <v>3.5</v>
      </c>
    </row>
    <row r="115" spans="1:23" ht="15.5" x14ac:dyDescent="0.35">
      <c r="A115" s="95">
        <f t="shared" si="33"/>
        <v>-79</v>
      </c>
      <c r="B115" s="89">
        <f t="shared" si="21"/>
        <v>14.399999999999999</v>
      </c>
      <c r="C115" s="55" t="e">
        <f t="shared" si="30"/>
        <v>#VALUE!</v>
      </c>
      <c r="D115" s="55" t="e">
        <f t="shared" si="22"/>
        <v>#VALUE!</v>
      </c>
      <c r="E115" s="55" t="e">
        <f t="shared" si="34"/>
        <v>#VALUE!</v>
      </c>
      <c r="F115" s="64">
        <f t="shared" si="31"/>
        <v>378.55200000000002</v>
      </c>
      <c r="G115" s="64">
        <f t="shared" si="32"/>
        <v>285.41399999999999</v>
      </c>
      <c r="H115" s="96" t="e">
        <f t="shared" si="35"/>
        <v>#VALUE!</v>
      </c>
      <c r="I115" s="96" t="e">
        <f t="shared" si="36"/>
        <v>#VALUE!</v>
      </c>
      <c r="J115" s="55" t="e">
        <f t="shared" si="23"/>
        <v>#VALUE!</v>
      </c>
      <c r="K115" s="97" t="e">
        <f t="shared" si="24"/>
        <v>#VALUE!</v>
      </c>
      <c r="L115" s="92" t="e">
        <f t="shared" si="25"/>
        <v>#VALUE!</v>
      </c>
      <c r="M115" s="98">
        <v>93.138000000000005</v>
      </c>
      <c r="N115" s="98"/>
      <c r="O115" s="55" t="e">
        <f t="shared" si="26"/>
        <v>#VALUE!</v>
      </c>
      <c r="P115" s="93" t="e">
        <f t="shared" si="37"/>
        <v>#VALUE!</v>
      </c>
      <c r="Q115" s="55">
        <f t="shared" si="27"/>
        <v>42.747719939196756</v>
      </c>
      <c r="R115" s="69" t="e">
        <f t="shared" si="28"/>
        <v>#VALUE!</v>
      </c>
      <c r="S115" s="94" t="e">
        <f t="shared" si="29"/>
        <v>#VALUE!</v>
      </c>
      <c r="T115" s="55" t="e">
        <f t="shared" si="38"/>
        <v>#VALUE!</v>
      </c>
      <c r="U115" s="55">
        <f t="shared" si="39"/>
        <v>3.5</v>
      </c>
    </row>
    <row r="116" spans="1:23" ht="15.5" x14ac:dyDescent="0.35">
      <c r="A116" s="95">
        <f t="shared" si="33"/>
        <v>-80</v>
      </c>
      <c r="B116" s="89">
        <f t="shared" si="21"/>
        <v>10.799999999999999</v>
      </c>
      <c r="C116" s="55" t="e">
        <f t="shared" si="30"/>
        <v>#VALUE!</v>
      </c>
      <c r="D116" s="55" t="e">
        <f t="shared" si="22"/>
        <v>#VALUE!</v>
      </c>
      <c r="E116" s="55" t="e">
        <f t="shared" si="34"/>
        <v>#VALUE!</v>
      </c>
      <c r="F116" s="64">
        <f t="shared" si="31"/>
        <v>285.41399999999999</v>
      </c>
      <c r="G116" s="64">
        <f t="shared" si="32"/>
        <v>191.27600000000001</v>
      </c>
      <c r="H116" s="96" t="e">
        <f t="shared" si="35"/>
        <v>#VALUE!</v>
      </c>
      <c r="I116" s="96" t="e">
        <f t="shared" si="36"/>
        <v>#VALUE!</v>
      </c>
      <c r="J116" s="55" t="e">
        <f t="shared" si="23"/>
        <v>#VALUE!</v>
      </c>
      <c r="K116" s="97" t="e">
        <f t="shared" si="24"/>
        <v>#VALUE!</v>
      </c>
      <c r="L116" s="92" t="e">
        <f t="shared" si="25"/>
        <v>#VALUE!</v>
      </c>
      <c r="M116" s="98">
        <v>94.138000000000005</v>
      </c>
      <c r="N116" s="98"/>
      <c r="O116" s="55" t="e">
        <f t="shared" si="26"/>
        <v>#VALUE!</v>
      </c>
      <c r="P116" s="93" t="e">
        <f t="shared" si="37"/>
        <v>#VALUE!</v>
      </c>
      <c r="Q116" s="55">
        <f t="shared" si="27"/>
        <v>42.976593164186482</v>
      </c>
      <c r="R116" s="69" t="e">
        <f t="shared" si="28"/>
        <v>#VALUE!</v>
      </c>
      <c r="S116" s="94" t="e">
        <f t="shared" si="29"/>
        <v>#VALUE!</v>
      </c>
      <c r="T116" s="55" t="e">
        <f t="shared" si="38"/>
        <v>#VALUE!</v>
      </c>
      <c r="U116" s="55">
        <f t="shared" si="39"/>
        <v>3.5</v>
      </c>
    </row>
    <row r="117" spans="1:23" ht="15.5" x14ac:dyDescent="0.35">
      <c r="A117" s="95">
        <f t="shared" si="33"/>
        <v>-81</v>
      </c>
      <c r="B117" s="89">
        <f>IF(A117=1,0,B118+U117+$F$16)</f>
        <v>7.1999999999999993</v>
      </c>
      <c r="C117" s="55" t="e">
        <f t="shared" si="30"/>
        <v>#VALUE!</v>
      </c>
      <c r="D117" s="55" t="e">
        <f>C117-$F$16*$K$10</f>
        <v>#VALUE!</v>
      </c>
      <c r="E117" s="55" t="e">
        <f t="shared" si="34"/>
        <v>#VALUE!</v>
      </c>
      <c r="F117" s="64">
        <f t="shared" si="31"/>
        <v>191.27600000000001</v>
      </c>
      <c r="G117" s="64">
        <f t="shared" si="32"/>
        <v>96.138000000000005</v>
      </c>
      <c r="H117" s="96" t="e">
        <f t="shared" si="35"/>
        <v>#VALUE!</v>
      </c>
      <c r="I117" s="96" t="e">
        <f t="shared" si="36"/>
        <v>#VALUE!</v>
      </c>
      <c r="J117" s="55" t="e">
        <f t="shared" si="23"/>
        <v>#VALUE!</v>
      </c>
      <c r="K117" s="97" t="e">
        <f>IF(NOT(I117&lt;J117),"okay","nicht okay")</f>
        <v>#VALUE!</v>
      </c>
      <c r="L117" s="92" t="e">
        <f t="shared" si="25"/>
        <v>#VALUE!</v>
      </c>
      <c r="M117" s="98">
        <v>95.138000000000005</v>
      </c>
      <c r="N117" s="98"/>
      <c r="O117" s="55" t="e">
        <f t="shared" si="26"/>
        <v>#VALUE!</v>
      </c>
      <c r="P117" s="93" t="e">
        <f t="shared" si="37"/>
        <v>#VALUE!</v>
      </c>
      <c r="Q117" s="55">
        <f t="shared" si="27"/>
        <v>43.204253957220466</v>
      </c>
      <c r="R117" s="69" t="e">
        <f t="shared" si="28"/>
        <v>#VALUE!</v>
      </c>
      <c r="S117" s="94" t="e">
        <f>IF(A117=1," ",9810*M117*P117/(T117*U117*$F$17))</f>
        <v>#VALUE!</v>
      </c>
      <c r="T117" s="55" t="e">
        <f t="shared" si="38"/>
        <v>#VALUE!</v>
      </c>
      <c r="U117" s="55">
        <f t="shared" si="39"/>
        <v>3.5</v>
      </c>
    </row>
    <row r="118" spans="1:23" ht="15.5" x14ac:dyDescent="0.35">
      <c r="A118" s="95">
        <f t="shared" si="33"/>
        <v>-82</v>
      </c>
      <c r="B118" s="89">
        <f>IF(A118=1,0,B119+U118+$F$16)</f>
        <v>3.6</v>
      </c>
      <c r="C118" s="55" t="e">
        <f t="shared" si="30"/>
        <v>#VALUE!</v>
      </c>
      <c r="D118" s="55" t="e">
        <f>C118-$F$16*$K$10</f>
        <v>#VALUE!</v>
      </c>
      <c r="E118" s="55" t="e">
        <f t="shared" si="34"/>
        <v>#VALUE!</v>
      </c>
      <c r="F118" s="64">
        <f>G118+M118</f>
        <v>96.138000000000005</v>
      </c>
      <c r="G118" s="64">
        <f t="shared" si="32"/>
        <v>0</v>
      </c>
      <c r="H118" s="96" t="e">
        <f t="shared" si="35"/>
        <v>#VALUE!</v>
      </c>
      <c r="I118" s="96" t="e">
        <f t="shared" si="36"/>
        <v>#VALUE!</v>
      </c>
      <c r="J118" s="55" t="e">
        <f t="shared" si="23"/>
        <v>#VALUE!</v>
      </c>
      <c r="K118" s="97" t="e">
        <f>IF(NOT(I118&lt;J118),"okay","nicht okay")</f>
        <v>#VALUE!</v>
      </c>
      <c r="L118" s="92" t="e">
        <f t="shared" si="25"/>
        <v>#VALUE!</v>
      </c>
      <c r="M118" s="98">
        <v>96.138000000000005</v>
      </c>
      <c r="N118" s="98"/>
      <c r="O118" s="55" t="e">
        <f t="shared" si="26"/>
        <v>#VALUE!</v>
      </c>
      <c r="P118" s="93" t="e">
        <f t="shared" si="37"/>
        <v>#VALUE!</v>
      </c>
      <c r="Q118" s="55">
        <f t="shared" si="27"/>
        <v>43.430721384752523</v>
      </c>
      <c r="R118" s="69" t="e">
        <f t="shared" si="28"/>
        <v>#VALUE!</v>
      </c>
      <c r="S118" s="94" t="e">
        <f>IF(A118=1," ",9810*M118*P118/(T118*U118*$F$17))</f>
        <v>#VALUE!</v>
      </c>
      <c r="T118" s="55" t="e">
        <f t="shared" si="38"/>
        <v>#VALUE!</v>
      </c>
      <c r="U118" s="55">
        <f t="shared" si="39"/>
        <v>3.5</v>
      </c>
    </row>
    <row r="119" spans="1:23" ht="15.5" x14ac:dyDescent="0.35">
      <c r="B119" s="99"/>
      <c r="O119" s="55" t="str">
        <f>IF(N119="a",0.59*(1-(I119/H119)^4.5)^0.48,IF(N119="b",0.48*(1-(I119/H119)^4.5)^0.6,IF(N119="c",0.65*(1-((I119/H119)^2.5)^0.55),"Eingabe Spalte N prüfen !")))</f>
        <v>Eingabe Spalte N prüfen !</v>
      </c>
      <c r="P119" s="93" t="e">
        <f t="shared" si="37"/>
        <v>#VALUE!</v>
      </c>
      <c r="R119" s="69" t="e">
        <f t="shared" si="28"/>
        <v>#DIV/0!</v>
      </c>
      <c r="W119" s="55"/>
    </row>
    <row r="120" spans="1:23" x14ac:dyDescent="0.35">
      <c r="O120" s="55" t="e">
        <f>IF((I120/H120)&lt;0.5,0.6,IF((I120/H120)&lt;0.97,0.6*(1-0.8*((I120/H120)^7.5)),-83.628*(I120/H120)^6 + 279.08*(I120/H120)^5 - 374.47*(I120/H120)^4 + 255.86*(I120/H120)^3 - 93.201*(I120/H120)^2 + 17.022*(I120/H120) - 0.601))</f>
        <v>#DIV/0!</v>
      </c>
    </row>
  </sheetData>
  <mergeCells count="2">
    <mergeCell ref="S19:U19"/>
    <mergeCell ref="A19:R19"/>
  </mergeCells>
  <conditionalFormatting sqref="P23:P119 O21:O120 S21:U118 A21:Q118">
    <cfRule type="expression" dxfId="11" priority="10" stopIfTrue="1">
      <formula>$A21&lt;1</formula>
    </cfRule>
  </conditionalFormatting>
  <conditionalFormatting sqref="P23:P119 O21:O120 S21:U118 A21:Q118">
    <cfRule type="expression" dxfId="10" priority="9" stopIfTrue="1">
      <formula>$A21&lt;1</formula>
    </cfRule>
  </conditionalFormatting>
  <conditionalFormatting sqref="N21:N29 M22:N29 M23:M35">
    <cfRule type="expression" dxfId="9" priority="8" stopIfTrue="1">
      <formula>$A21&lt;1</formula>
    </cfRule>
  </conditionalFormatting>
  <conditionalFormatting sqref="W119 R21:R119">
    <cfRule type="expression" dxfId="8" priority="7" stopIfTrue="1">
      <formula>$A21&lt;1</formula>
    </cfRule>
  </conditionalFormatting>
  <conditionalFormatting sqref="W119 R21:R119">
    <cfRule type="expression" dxfId="7" priority="6" stopIfTrue="1">
      <formula>$A21&lt;1</formula>
    </cfRule>
  </conditionalFormatting>
  <conditionalFormatting sqref="O21:O120 S21:U118 P21:P119 Q21:Q118 A21:N118">
    <cfRule type="expression" dxfId="6" priority="5" stopIfTrue="1">
      <formula>$A21&lt;1</formula>
    </cfRule>
  </conditionalFormatting>
  <conditionalFormatting sqref="O21:O120 S21:U118 P21:P119 Q21:Q118 A21:N118">
    <cfRule type="expression" dxfId="5" priority="4" stopIfTrue="1">
      <formula>$A21&lt;1</formula>
    </cfRule>
  </conditionalFormatting>
  <conditionalFormatting sqref="N21 M22:N33 M23:M35 N33:N35">
    <cfRule type="expression" dxfId="4" priority="3" stopIfTrue="1">
      <formula>$A21&lt;1</formula>
    </cfRule>
  </conditionalFormatting>
  <conditionalFormatting sqref="W119 R21:R119">
    <cfRule type="expression" dxfId="3" priority="2" stopIfTrue="1">
      <formula>$A21&lt;1</formula>
    </cfRule>
  </conditionalFormatting>
  <conditionalFormatting sqref="W119 R21:R119">
    <cfRule type="expression" dxfId="2" priority="1" stopIfTrue="1">
      <formula>$A21&lt;1</formula>
    </cfRule>
  </conditionalFormatting>
  <pageMargins left="0.7" right="0.7" top="0.78740157499999996" bottom="0.78740157499999996"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23"/>
  <sheetViews>
    <sheetView topLeftCell="A18" zoomScale="115" zoomScaleNormal="115" workbookViewId="0">
      <selection activeCell="Z24" sqref="Z24"/>
    </sheetView>
  </sheetViews>
  <sheetFormatPr baseColWidth="10" defaultRowHeight="14.5" x14ac:dyDescent="0.35"/>
  <cols>
    <col min="1" max="2" width="7.26953125" customWidth="1"/>
    <col min="3" max="3" width="7.81640625" customWidth="1"/>
    <col min="4" max="4" width="7.54296875" customWidth="1"/>
    <col min="5" max="6" width="7.7265625" customWidth="1"/>
    <col min="7" max="7" width="6.26953125" customWidth="1"/>
    <col min="8" max="8" width="8" customWidth="1"/>
    <col min="9" max="9" width="5.453125" customWidth="1"/>
    <col min="10" max="10" width="7.7265625" customWidth="1"/>
    <col min="11" max="11" width="8.453125" customWidth="1"/>
    <col min="12" max="12" width="10.26953125" customWidth="1"/>
    <col min="13" max="13" width="5.7265625" customWidth="1"/>
    <col min="14" max="15" width="7" customWidth="1"/>
    <col min="16" max="16" width="6.1796875" customWidth="1"/>
    <col min="17" max="18" width="6.81640625" customWidth="1"/>
    <col min="19" max="19" width="6.7265625" customWidth="1"/>
    <col min="20" max="20" width="8" customWidth="1"/>
    <col min="21" max="21" width="7.26953125" customWidth="1"/>
    <col min="22" max="22" width="8.7265625" customWidth="1"/>
    <col min="23" max="23" width="8.1796875" customWidth="1"/>
    <col min="24" max="24" width="8.81640625" customWidth="1"/>
  </cols>
  <sheetData>
    <row r="1" spans="1:21" x14ac:dyDescent="0.35">
      <c r="A1" s="4" t="s">
        <v>318</v>
      </c>
      <c r="B1" s="4"/>
      <c r="N1" s="6" t="s">
        <v>5</v>
      </c>
    </row>
    <row r="2" spans="1:21" x14ac:dyDescent="0.35">
      <c r="A2" s="4"/>
      <c r="B2" s="4"/>
      <c r="N2" t="s">
        <v>380</v>
      </c>
      <c r="U2" s="149" t="s">
        <v>381</v>
      </c>
    </row>
    <row r="3" spans="1:21" x14ac:dyDescent="0.35">
      <c r="A3" s="4"/>
      <c r="B3" s="4"/>
      <c r="C3" s="7" t="s">
        <v>6</v>
      </c>
      <c r="D3" s="57"/>
      <c r="E3" s="58"/>
      <c r="F3" s="58"/>
      <c r="G3" s="58"/>
      <c r="H3" s="58"/>
      <c r="I3" s="58"/>
      <c r="J3" s="58"/>
      <c r="K3" s="58"/>
      <c r="L3" s="58"/>
      <c r="M3" s="59"/>
    </row>
    <row r="4" spans="1:21" x14ac:dyDescent="0.35">
      <c r="C4" s="7" t="s">
        <v>7</v>
      </c>
      <c r="D4" s="57"/>
      <c r="E4" s="58"/>
      <c r="F4" s="58"/>
      <c r="G4" s="58"/>
      <c r="H4" s="58"/>
      <c r="I4" s="58"/>
      <c r="J4" s="58"/>
      <c r="K4" s="58"/>
      <c r="L4" s="58"/>
      <c r="M4" s="59"/>
    </row>
    <row r="5" spans="1:21" x14ac:dyDescent="0.35">
      <c r="C5" s="11" t="s">
        <v>8</v>
      </c>
      <c r="D5" s="8"/>
      <c r="E5" s="9"/>
      <c r="F5" s="9"/>
      <c r="G5" s="9"/>
      <c r="H5" s="10"/>
    </row>
    <row r="6" spans="1:21" x14ac:dyDescent="0.35">
      <c r="A6" s="4"/>
      <c r="B6" s="4"/>
    </row>
    <row r="7" spans="1:21" x14ac:dyDescent="0.35">
      <c r="E7" s="4" t="s">
        <v>9</v>
      </c>
    </row>
    <row r="8" spans="1:21" x14ac:dyDescent="0.35">
      <c r="E8" s="12" t="s">
        <v>85</v>
      </c>
      <c r="F8" s="16">
        <v>40.200000000000003</v>
      </c>
      <c r="K8" s="12" t="s">
        <v>104</v>
      </c>
      <c r="L8" s="13">
        <f>(F12-F13)</f>
        <v>5.2999999999999972</v>
      </c>
    </row>
    <row r="9" spans="1:21" ht="15.5" x14ac:dyDescent="0.35">
      <c r="E9" s="12" t="s">
        <v>86</v>
      </c>
      <c r="F9" s="16">
        <v>36</v>
      </c>
      <c r="K9" s="12" t="s">
        <v>17</v>
      </c>
      <c r="L9" s="70">
        <f>L8/F9</f>
        <v>0.14722222222222214</v>
      </c>
      <c r="R9" s="100" t="s">
        <v>105</v>
      </c>
      <c r="S9" t="s">
        <v>106</v>
      </c>
    </row>
    <row r="10" spans="1:21" x14ac:dyDescent="0.35">
      <c r="E10" s="12" t="s">
        <v>18</v>
      </c>
      <c r="F10" s="16">
        <v>121</v>
      </c>
      <c r="K10" s="12" t="s">
        <v>108</v>
      </c>
      <c r="L10" s="70">
        <f>(F10-F11)/F8</f>
        <v>0.13184079601990042</v>
      </c>
      <c r="M10" s="101" t="s">
        <v>20</v>
      </c>
      <c r="N10" s="20">
        <f>1/L10</f>
        <v>7.5849056603773626</v>
      </c>
      <c r="R10" t="s">
        <v>107</v>
      </c>
    </row>
    <row r="11" spans="1:21" x14ac:dyDescent="0.35">
      <c r="E11" s="12" t="s">
        <v>23</v>
      </c>
      <c r="F11" s="16">
        <v>115.7</v>
      </c>
    </row>
    <row r="12" spans="1:21" x14ac:dyDescent="0.35">
      <c r="E12" s="12" t="s">
        <v>24</v>
      </c>
      <c r="F12" s="16">
        <v>121.7</v>
      </c>
    </row>
    <row r="13" spans="1:21" x14ac:dyDescent="0.35">
      <c r="E13" s="12" t="s">
        <v>25</v>
      </c>
      <c r="F13" s="16">
        <v>116.4</v>
      </c>
      <c r="K13" s="11" t="s">
        <v>27</v>
      </c>
      <c r="L13" s="23">
        <f>SUMIF(A25:A122,"=1",T25:T122)</f>
        <v>1.6982755960090812</v>
      </c>
    </row>
    <row r="14" spans="1:21" x14ac:dyDescent="0.35">
      <c r="E14" s="12" t="s">
        <v>109</v>
      </c>
      <c r="F14" s="16">
        <v>1</v>
      </c>
    </row>
    <row r="15" spans="1:21" x14ac:dyDescent="0.35">
      <c r="E15" s="12" t="s">
        <v>110</v>
      </c>
      <c r="F15" s="16">
        <v>0</v>
      </c>
    </row>
    <row r="16" spans="1:21" x14ac:dyDescent="0.35">
      <c r="E16" s="12" t="s">
        <v>111</v>
      </c>
      <c r="F16" s="16">
        <v>0</v>
      </c>
    </row>
    <row r="17" spans="1:24" x14ac:dyDescent="0.35">
      <c r="E17" s="12" t="s">
        <v>112</v>
      </c>
      <c r="F17" s="16">
        <v>0.3</v>
      </c>
    </row>
    <row r="18" spans="1:24" x14ac:dyDescent="0.35">
      <c r="E18" s="12" t="s">
        <v>276</v>
      </c>
      <c r="F18" s="16">
        <v>0.6</v>
      </c>
      <c r="K18" s="102" t="s">
        <v>36</v>
      </c>
      <c r="L18" s="103"/>
    </row>
    <row r="19" spans="1:24" x14ac:dyDescent="0.35">
      <c r="E19" s="12" t="s">
        <v>113</v>
      </c>
      <c r="F19" s="16">
        <v>0.14000000000000001</v>
      </c>
      <c r="K19" s="83" t="s">
        <v>38</v>
      </c>
      <c r="L19" s="84"/>
      <c r="M19" s="84"/>
      <c r="N19" s="31"/>
    </row>
    <row r="20" spans="1:24" x14ac:dyDescent="0.35">
      <c r="E20" s="12" t="s">
        <v>114</v>
      </c>
      <c r="F20" s="16">
        <v>1.2</v>
      </c>
    </row>
    <row r="21" spans="1:24" x14ac:dyDescent="0.35">
      <c r="E21" s="11" t="s">
        <v>70</v>
      </c>
      <c r="F21" s="16">
        <v>4</v>
      </c>
    </row>
    <row r="22" spans="1:24" ht="15" thickBot="1" x14ac:dyDescent="0.4">
      <c r="E22" s="11"/>
    </row>
    <row r="23" spans="1:24" ht="16" thickBot="1" x14ac:dyDescent="0.4">
      <c r="A23" s="298" t="s">
        <v>91</v>
      </c>
      <c r="B23" s="291"/>
      <c r="C23" s="291"/>
      <c r="D23" s="291"/>
      <c r="E23" s="291"/>
      <c r="F23" s="291"/>
      <c r="G23" s="291"/>
      <c r="H23" s="291"/>
      <c r="I23" s="291"/>
      <c r="J23" s="291"/>
      <c r="K23" s="291"/>
      <c r="L23" s="291"/>
      <c r="M23" s="291"/>
      <c r="N23" s="291"/>
      <c r="O23" s="291"/>
      <c r="P23" s="300"/>
      <c r="Q23" s="300"/>
      <c r="R23" s="300"/>
      <c r="S23" s="300"/>
      <c r="T23" s="286"/>
      <c r="U23" s="284" t="s">
        <v>92</v>
      </c>
      <c r="V23" s="285"/>
      <c r="W23" s="285"/>
      <c r="X23" s="283"/>
    </row>
    <row r="24" spans="1:24" ht="108" customHeight="1" x14ac:dyDescent="0.4">
      <c r="A24" s="36" t="s">
        <v>115</v>
      </c>
      <c r="B24" s="77" t="s">
        <v>44</v>
      </c>
      <c r="C24" s="77" t="s">
        <v>45</v>
      </c>
      <c r="D24" s="36" t="s">
        <v>46</v>
      </c>
      <c r="E24" s="36" t="s">
        <v>96</v>
      </c>
      <c r="F24" s="104" t="s">
        <v>116</v>
      </c>
      <c r="G24" s="105" t="s">
        <v>117</v>
      </c>
      <c r="H24" s="36" t="s">
        <v>310</v>
      </c>
      <c r="I24" s="104" t="s">
        <v>118</v>
      </c>
      <c r="J24" s="36" t="s">
        <v>24</v>
      </c>
      <c r="K24" s="36" t="s">
        <v>25</v>
      </c>
      <c r="L24" s="36" t="s">
        <v>76</v>
      </c>
      <c r="M24" s="36" t="s">
        <v>77</v>
      </c>
      <c r="N24" s="106" t="s">
        <v>119</v>
      </c>
      <c r="O24" s="36" t="s">
        <v>120</v>
      </c>
      <c r="P24" s="107" t="s">
        <v>121</v>
      </c>
      <c r="Q24" s="36" t="s">
        <v>122</v>
      </c>
      <c r="R24" s="36" t="s">
        <v>123</v>
      </c>
      <c r="S24" s="36" t="s">
        <v>62</v>
      </c>
      <c r="T24" s="36" t="s">
        <v>124</v>
      </c>
      <c r="U24" s="36" t="s">
        <v>102</v>
      </c>
      <c r="V24" s="36" t="s">
        <v>82</v>
      </c>
      <c r="W24" s="36" t="s">
        <v>125</v>
      </c>
      <c r="X24" s="77" t="s">
        <v>83</v>
      </c>
    </row>
    <row r="25" spans="1:24" x14ac:dyDescent="0.35">
      <c r="A25" s="63">
        <f>$F$9</f>
        <v>36</v>
      </c>
      <c r="B25" s="108">
        <f t="shared" ref="B25:B56" si="0">IF(A25=1,0,B26+X25+$F$19)</f>
        <v>40.060000000000009</v>
      </c>
      <c r="C25" s="64">
        <f>$F$10</f>
        <v>121</v>
      </c>
      <c r="D25" s="64">
        <f t="shared" ref="D25:D56" si="1">C25-$F$19*$L$10</f>
        <v>120.98154228855721</v>
      </c>
      <c r="E25" s="67">
        <f>C25+$F$14</f>
        <v>122</v>
      </c>
      <c r="F25" s="78">
        <f>E25-$F$18</f>
        <v>121.4</v>
      </c>
      <c r="G25" s="75">
        <v>0.6</v>
      </c>
      <c r="H25" s="56">
        <f>IF(K25&gt;E25,(1-((K25-E25)/(J25-E25+0.000001))^$F$21)^0.5,1)</f>
        <v>1</v>
      </c>
      <c r="I25" s="68">
        <v>0.75</v>
      </c>
      <c r="J25" s="64">
        <f>$F$12</f>
        <v>121.7</v>
      </c>
      <c r="K25" s="56">
        <f t="shared" ref="K25:K56" si="2">IF(A25=1,$F$13,J26)</f>
        <v>121.51600000000018</v>
      </c>
      <c r="L25" s="97">
        <f t="shared" ref="L25:L56" si="3">J25-F25</f>
        <v>0.29999999999999716</v>
      </c>
      <c r="M25" s="56">
        <f t="shared" ref="M25:M56" si="4">K25-D25</f>
        <v>0.53445771144296828</v>
      </c>
      <c r="N25" s="109">
        <f>J25-K25</f>
        <v>0.18399999999982697</v>
      </c>
      <c r="O25" s="110">
        <f>I25*$F$15*$F$16*(2*9.81*N25)^0.5</f>
        <v>0</v>
      </c>
      <c r="P25" s="56">
        <f>IF(N25&gt;L25,1,(1-(1-N25/L25)^1.5)^0.385)</f>
        <v>0.89953196396442903</v>
      </c>
      <c r="Q25" s="110">
        <f t="shared" ref="Q25:Q56" si="5">IF(J25&gt;F25,SQRT(2*9.81)*L25^1.5*$F$17*P25*G25*2/3,0)</f>
        <v>7.8565020800445709E-2</v>
      </c>
      <c r="R25" s="56">
        <f t="shared" ref="R25:R56" si="6">IF(J25&gt;E25,SQRT(2*9.81)*SQRT((J25-E25)^3)*0.6*($F$20-$F$17)*H25*2/3,0)</f>
        <v>0</v>
      </c>
      <c r="S25" s="71">
        <f>O25+Q25+R25</f>
        <v>7.8565020800445709E-2</v>
      </c>
      <c r="T25" s="72">
        <f t="shared" ref="T25:T88" si="7">(2*9.81*N25)^0.5</f>
        <v>1.9000210525140517</v>
      </c>
      <c r="U25" s="111">
        <f t="shared" ref="U25:U56" si="8">IF(A25=1," ",9810*N25*S25/(W25*X25))</f>
        <v>195.84442379472767</v>
      </c>
      <c r="V25" s="110">
        <f t="shared" ref="V25:V56" si="9">IF(A25=1," ",((K25-D25)+(J26-C26))/2)</f>
        <v>0.60067945984381765</v>
      </c>
      <c r="W25" s="56">
        <f t="shared" ref="W25:W56" si="10">IF(A25=1," ",V25*$F$20)</f>
        <v>0.72081535181258116</v>
      </c>
      <c r="X25" s="72">
        <f>IF(A25=1," ",(($F$8-$F$19)/($F$9-1))-$F$19)</f>
        <v>1.0045714285714284</v>
      </c>
    </row>
    <row r="26" spans="1:24" x14ac:dyDescent="0.35">
      <c r="A26" s="63">
        <f>A25-1</f>
        <v>35</v>
      </c>
      <c r="B26" s="108">
        <f t="shared" si="0"/>
        <v>38.915428571428578</v>
      </c>
      <c r="C26" s="55">
        <f t="shared" ref="C26:C57" si="11">C25-((X25+$F$19)*$L$10)</f>
        <v>120.84909879175551</v>
      </c>
      <c r="D26" s="55">
        <f t="shared" si="1"/>
        <v>120.83064108031272</v>
      </c>
      <c r="E26" s="55">
        <f>C26+$F$14</f>
        <v>121.84909879175551</v>
      </c>
      <c r="F26" s="55">
        <f>E26-$F$18</f>
        <v>121.24909879175551</v>
      </c>
      <c r="G26" s="75">
        <f>G25</f>
        <v>0.6</v>
      </c>
      <c r="H26" s="56">
        <f t="shared" ref="H26:H60" si="12">IF(K26&gt;E26,(1-((K26-E26)/(J26-E26+0.000001))^$F$21)^0.5,1)</f>
        <v>1</v>
      </c>
      <c r="I26" s="75">
        <f>I25</f>
        <v>0.75</v>
      </c>
      <c r="J26" s="64">
        <f>K26+N26</f>
        <v>121.51600000000018</v>
      </c>
      <c r="K26" s="56">
        <f t="shared" si="2"/>
        <v>121.36400000000017</v>
      </c>
      <c r="L26" s="56">
        <f t="shared" si="3"/>
        <v>0.26690120824466135</v>
      </c>
      <c r="M26" s="56">
        <f t="shared" si="4"/>
        <v>0.53335891968745841</v>
      </c>
      <c r="N26" s="52">
        <v>0.152</v>
      </c>
      <c r="O26" s="110">
        <f>I26*$F$15*$F$16*(2*9.81*N26)^0.5</f>
        <v>0</v>
      </c>
      <c r="P26" s="56">
        <f>IF(N26&gt;L26,1,(1-(1-N26/L26)^1.5)^0.385)</f>
        <v>0.88003537312038105</v>
      </c>
      <c r="Q26" s="110">
        <f t="shared" si="5"/>
        <v>6.4499550244397658E-2</v>
      </c>
      <c r="R26" s="56">
        <f t="shared" si="6"/>
        <v>0</v>
      </c>
      <c r="S26" s="112">
        <f>O26+Q26+R26</f>
        <v>6.4499550244397658E-2</v>
      </c>
      <c r="T26" s="72">
        <f t="shared" si="7"/>
        <v>1.7269163268670547</v>
      </c>
      <c r="U26" s="111">
        <f t="shared" si="8"/>
        <v>133.06369891303606</v>
      </c>
      <c r="V26" s="110">
        <f t="shared" si="9"/>
        <v>0.59958066808830779</v>
      </c>
      <c r="W26" s="56">
        <f t="shared" si="10"/>
        <v>0.7194968017059693</v>
      </c>
      <c r="X26" s="72">
        <f>IF(A26=1," ",(($F$8-$F$19)/($F$9-1))-$F$19)</f>
        <v>1.0045714285714284</v>
      </c>
    </row>
    <row r="27" spans="1:24" x14ac:dyDescent="0.35">
      <c r="A27" s="63">
        <f t="shared" ref="A27:A90" si="13">A26-1</f>
        <v>34</v>
      </c>
      <c r="B27" s="108">
        <f t="shared" si="0"/>
        <v>37.770857142857146</v>
      </c>
      <c r="C27" s="55">
        <f t="shared" si="11"/>
        <v>120.69819758351102</v>
      </c>
      <c r="D27" s="55">
        <f t="shared" si="1"/>
        <v>120.67973987206823</v>
      </c>
      <c r="E27" s="55">
        <f t="shared" ref="E27:E90" si="14">C27+$F$14</f>
        <v>121.69819758351102</v>
      </c>
      <c r="F27" s="55">
        <f t="shared" ref="F27:F90" si="15">E27-$F$18</f>
        <v>121.09819758351102</v>
      </c>
      <c r="G27" s="75">
        <f t="shared" ref="G27:G90" si="16">G26</f>
        <v>0.6</v>
      </c>
      <c r="H27" s="56">
        <f t="shared" si="12"/>
        <v>1</v>
      </c>
      <c r="I27" s="75">
        <f t="shared" ref="I27:I90" si="17">I26</f>
        <v>0.75</v>
      </c>
      <c r="J27" s="64">
        <f t="shared" ref="J27:J90" si="18">K27+N27</f>
        <v>121.36400000000017</v>
      </c>
      <c r="K27" s="56">
        <f t="shared" si="2"/>
        <v>121.21200000000017</v>
      </c>
      <c r="L27" s="56">
        <f t="shared" si="3"/>
        <v>0.26580241648915148</v>
      </c>
      <c r="M27" s="56">
        <f t="shared" si="4"/>
        <v>0.53226012793194855</v>
      </c>
      <c r="N27" s="52">
        <v>0.152</v>
      </c>
      <c r="O27" s="110">
        <f t="shared" ref="O27:O90" si="19">I27*$F$15*$F$16*(2*9.81*N27)^0.5</f>
        <v>0</v>
      </c>
      <c r="P27" s="56">
        <f t="shared" ref="P27:P90" si="20">IF(N27&gt;L27,1,(1-(1-N27/L27)^1.5)^0.385)</f>
        <v>0.88112686212548674</v>
      </c>
      <c r="Q27" s="110">
        <f t="shared" si="5"/>
        <v>6.4181162091085694E-2</v>
      </c>
      <c r="R27" s="56">
        <f t="shared" si="6"/>
        <v>0</v>
      </c>
      <c r="S27" s="112">
        <f t="shared" ref="S27:S90" si="21">O27+Q27+R27</f>
        <v>6.4181162091085694E-2</v>
      </c>
      <c r="T27" s="72">
        <f t="shared" si="7"/>
        <v>1.7269163268670547</v>
      </c>
      <c r="U27" s="111">
        <f t="shared" si="8"/>
        <v>132.64995294388979</v>
      </c>
      <c r="V27" s="110">
        <f t="shared" si="9"/>
        <v>0.59848187633279792</v>
      </c>
      <c r="W27" s="56">
        <f t="shared" si="10"/>
        <v>0.71817825159935744</v>
      </c>
      <c r="X27" s="72">
        <f t="shared" ref="X27:X90" si="22">IF(A27=1," ",(($F$8-$F$19)/($F$9-1))-$F$19)</f>
        <v>1.0045714285714284</v>
      </c>
    </row>
    <row r="28" spans="1:24" x14ac:dyDescent="0.35">
      <c r="A28" s="63">
        <f t="shared" si="13"/>
        <v>33</v>
      </c>
      <c r="B28" s="108">
        <f t="shared" si="0"/>
        <v>36.626285714285714</v>
      </c>
      <c r="C28" s="55">
        <f t="shared" si="11"/>
        <v>120.54729637526653</v>
      </c>
      <c r="D28" s="55">
        <f t="shared" si="1"/>
        <v>120.52883866382373</v>
      </c>
      <c r="E28" s="55">
        <f t="shared" si="14"/>
        <v>121.54729637526653</v>
      </c>
      <c r="F28" s="55">
        <f t="shared" si="15"/>
        <v>120.94729637526653</v>
      </c>
      <c r="G28" s="75">
        <f t="shared" si="16"/>
        <v>0.6</v>
      </c>
      <c r="H28" s="56">
        <f t="shared" si="12"/>
        <v>1</v>
      </c>
      <c r="I28" s="75">
        <f t="shared" si="17"/>
        <v>0.75</v>
      </c>
      <c r="J28" s="64">
        <f t="shared" si="18"/>
        <v>121.21200000000017</v>
      </c>
      <c r="K28" s="56">
        <f t="shared" si="2"/>
        <v>121.06000000000017</v>
      </c>
      <c r="L28" s="56">
        <f t="shared" si="3"/>
        <v>0.26470362473364162</v>
      </c>
      <c r="M28" s="56">
        <f t="shared" si="4"/>
        <v>0.53116133617643868</v>
      </c>
      <c r="N28" s="52">
        <v>0.152</v>
      </c>
      <c r="O28" s="110">
        <f t="shared" si="19"/>
        <v>0</v>
      </c>
      <c r="P28" s="56">
        <f t="shared" si="20"/>
        <v>0.88222220512090432</v>
      </c>
      <c r="Q28" s="110">
        <f t="shared" si="5"/>
        <v>6.3862889535724207E-2</v>
      </c>
      <c r="R28" s="56">
        <f t="shared" si="6"/>
        <v>0</v>
      </c>
      <c r="S28" s="112">
        <f t="shared" si="21"/>
        <v>6.3862889535724207E-2</v>
      </c>
      <c r="T28" s="72">
        <f t="shared" si="7"/>
        <v>1.7269163268670547</v>
      </c>
      <c r="U28" s="111">
        <f t="shared" si="8"/>
        <v>132.2349242920109</v>
      </c>
      <c r="V28" s="110">
        <f t="shared" si="9"/>
        <v>0.59738308457728806</v>
      </c>
      <c r="W28" s="56">
        <f t="shared" si="10"/>
        <v>0.71685970149274569</v>
      </c>
      <c r="X28" s="72">
        <f t="shared" si="22"/>
        <v>1.0045714285714284</v>
      </c>
    </row>
    <row r="29" spans="1:24" x14ac:dyDescent="0.35">
      <c r="A29" s="63">
        <f t="shared" si="13"/>
        <v>32</v>
      </c>
      <c r="B29" s="108">
        <f t="shared" si="0"/>
        <v>35.481714285714283</v>
      </c>
      <c r="C29" s="55">
        <f t="shared" si="11"/>
        <v>120.39639516702204</v>
      </c>
      <c r="D29" s="55">
        <f t="shared" si="1"/>
        <v>120.37793745557924</v>
      </c>
      <c r="E29" s="55">
        <f t="shared" si="14"/>
        <v>121.39639516702204</v>
      </c>
      <c r="F29" s="55">
        <f t="shared" si="15"/>
        <v>120.79639516702204</v>
      </c>
      <c r="G29" s="75">
        <f t="shared" si="16"/>
        <v>0.6</v>
      </c>
      <c r="H29" s="56">
        <f t="shared" si="12"/>
        <v>1</v>
      </c>
      <c r="I29" s="75">
        <f t="shared" si="17"/>
        <v>0.75</v>
      </c>
      <c r="J29" s="64">
        <f t="shared" si="18"/>
        <v>121.06000000000017</v>
      </c>
      <c r="K29" s="56">
        <f t="shared" si="2"/>
        <v>120.90800000000017</v>
      </c>
      <c r="L29" s="56">
        <f t="shared" si="3"/>
        <v>0.26360483297813175</v>
      </c>
      <c r="M29" s="56">
        <f t="shared" si="4"/>
        <v>0.53006254442092882</v>
      </c>
      <c r="N29" s="52">
        <v>0.152</v>
      </c>
      <c r="O29" s="110">
        <f t="shared" si="19"/>
        <v>0</v>
      </c>
      <c r="P29" s="56">
        <f t="shared" si="20"/>
        <v>0.88332140616290711</v>
      </c>
      <c r="Q29" s="110">
        <f t="shared" si="5"/>
        <v>6.3544732430868014E-2</v>
      </c>
      <c r="R29" s="56">
        <f t="shared" si="6"/>
        <v>0</v>
      </c>
      <c r="S29" s="112">
        <f t="shared" si="21"/>
        <v>6.3544732430868014E-2</v>
      </c>
      <c r="T29" s="72">
        <f t="shared" si="7"/>
        <v>1.7269163268670547</v>
      </c>
      <c r="U29" s="111">
        <f t="shared" si="8"/>
        <v>131.81860556061682</v>
      </c>
      <c r="V29" s="110">
        <f t="shared" si="9"/>
        <v>0.59628429282177819</v>
      </c>
      <c r="W29" s="56">
        <f t="shared" si="10"/>
        <v>0.71554115138613383</v>
      </c>
      <c r="X29" s="72">
        <f t="shared" si="22"/>
        <v>1.0045714285714284</v>
      </c>
    </row>
    <row r="30" spans="1:24" x14ac:dyDescent="0.35">
      <c r="A30" s="63">
        <f t="shared" si="13"/>
        <v>31</v>
      </c>
      <c r="B30" s="108">
        <f t="shared" si="0"/>
        <v>34.337142857142851</v>
      </c>
      <c r="C30" s="55">
        <f t="shared" si="11"/>
        <v>120.24549395877754</v>
      </c>
      <c r="D30" s="55">
        <f t="shared" si="1"/>
        <v>120.22703624733475</v>
      </c>
      <c r="E30" s="55">
        <f t="shared" si="14"/>
        <v>121.24549395877754</v>
      </c>
      <c r="F30" s="55">
        <f t="shared" si="15"/>
        <v>120.64549395877755</v>
      </c>
      <c r="G30" s="75">
        <f t="shared" si="16"/>
        <v>0.6</v>
      </c>
      <c r="H30" s="56">
        <f t="shared" si="12"/>
        <v>1</v>
      </c>
      <c r="I30" s="75">
        <f t="shared" si="17"/>
        <v>0.75</v>
      </c>
      <c r="J30" s="64">
        <f t="shared" si="18"/>
        <v>120.90800000000017</v>
      </c>
      <c r="K30" s="56">
        <f t="shared" si="2"/>
        <v>120.75600000000017</v>
      </c>
      <c r="L30" s="56">
        <f t="shared" si="3"/>
        <v>0.26250604122262189</v>
      </c>
      <c r="M30" s="56">
        <f t="shared" si="4"/>
        <v>0.52896375266541895</v>
      </c>
      <c r="N30" s="52">
        <v>0.152</v>
      </c>
      <c r="O30" s="110">
        <f t="shared" si="19"/>
        <v>0</v>
      </c>
      <c r="P30" s="56">
        <f t="shared" si="20"/>
        <v>0.88442446864152635</v>
      </c>
      <c r="Q30" s="110">
        <f t="shared" si="5"/>
        <v>6.3226690614973283E-2</v>
      </c>
      <c r="R30" s="56">
        <f t="shared" si="6"/>
        <v>0</v>
      </c>
      <c r="S30" s="112">
        <f t="shared" si="21"/>
        <v>6.3226690614973283E-2</v>
      </c>
      <c r="T30" s="72">
        <f t="shared" si="7"/>
        <v>1.7269163268670547</v>
      </c>
      <c r="U30" s="111">
        <f t="shared" si="8"/>
        <v>131.40098926900271</v>
      </c>
      <c r="V30" s="110">
        <f t="shared" si="9"/>
        <v>0.59518550106626833</v>
      </c>
      <c r="W30" s="56">
        <f t="shared" si="10"/>
        <v>0.71422260127952197</v>
      </c>
      <c r="X30" s="72">
        <f t="shared" si="22"/>
        <v>1.0045714285714284</v>
      </c>
    </row>
    <row r="31" spans="1:24" x14ac:dyDescent="0.35">
      <c r="A31" s="63">
        <f t="shared" si="13"/>
        <v>30</v>
      </c>
      <c r="B31" s="108">
        <f t="shared" si="0"/>
        <v>33.192571428571419</v>
      </c>
      <c r="C31" s="55">
        <f t="shared" si="11"/>
        <v>120.09459275053305</v>
      </c>
      <c r="D31" s="55">
        <f t="shared" si="1"/>
        <v>120.07613503909026</v>
      </c>
      <c r="E31" s="55">
        <f t="shared" si="14"/>
        <v>121.09459275053305</v>
      </c>
      <c r="F31" s="55">
        <f t="shared" si="15"/>
        <v>120.49459275053306</v>
      </c>
      <c r="G31" s="75">
        <f t="shared" si="16"/>
        <v>0.6</v>
      </c>
      <c r="H31" s="56">
        <f t="shared" si="12"/>
        <v>1</v>
      </c>
      <c r="I31" s="75">
        <f t="shared" si="17"/>
        <v>0.75</v>
      </c>
      <c r="J31" s="64">
        <f t="shared" si="18"/>
        <v>120.75600000000017</v>
      </c>
      <c r="K31" s="56">
        <f t="shared" si="2"/>
        <v>120.60600000000017</v>
      </c>
      <c r="L31" s="56">
        <f t="shared" si="3"/>
        <v>0.26140724946711202</v>
      </c>
      <c r="M31" s="56">
        <f t="shared" si="4"/>
        <v>0.52986496090990443</v>
      </c>
      <c r="N31" s="52">
        <v>0.15</v>
      </c>
      <c r="O31" s="110">
        <f t="shared" si="19"/>
        <v>0</v>
      </c>
      <c r="P31" s="56">
        <f t="shared" si="20"/>
        <v>0.88203346908635827</v>
      </c>
      <c r="Q31" s="110">
        <f t="shared" si="5"/>
        <v>6.2660268813599693E-2</v>
      </c>
      <c r="R31" s="56">
        <f t="shared" si="6"/>
        <v>0</v>
      </c>
      <c r="S31" s="112">
        <f>O31+Q31+R31</f>
        <v>6.2660268813599693E-2</v>
      </c>
      <c r="T31" s="72">
        <f t="shared" si="7"/>
        <v>1.7155174146594956</v>
      </c>
      <c r="U31" s="111">
        <f t="shared" si="8"/>
        <v>128.31605923521386</v>
      </c>
      <c r="V31" s="110">
        <f t="shared" si="9"/>
        <v>0.5960867093107538</v>
      </c>
      <c r="W31" s="56">
        <f t="shared" si="10"/>
        <v>0.71530405117290452</v>
      </c>
      <c r="X31" s="72">
        <f t="shared" si="22"/>
        <v>1.0045714285714284</v>
      </c>
    </row>
    <row r="32" spans="1:24" x14ac:dyDescent="0.35">
      <c r="A32" s="63">
        <f t="shared" si="13"/>
        <v>29</v>
      </c>
      <c r="B32" s="108">
        <f t="shared" si="0"/>
        <v>32.047999999999988</v>
      </c>
      <c r="C32" s="55">
        <f t="shared" si="11"/>
        <v>119.94369154228856</v>
      </c>
      <c r="D32" s="55">
        <f t="shared" si="1"/>
        <v>119.92523383084577</v>
      </c>
      <c r="E32" s="55">
        <f t="shared" si="14"/>
        <v>120.94369154228856</v>
      </c>
      <c r="F32" s="55">
        <f t="shared" si="15"/>
        <v>120.34369154228857</v>
      </c>
      <c r="G32" s="75">
        <f t="shared" si="16"/>
        <v>0.6</v>
      </c>
      <c r="H32" s="56">
        <f t="shared" si="12"/>
        <v>1</v>
      </c>
      <c r="I32" s="75">
        <f t="shared" si="17"/>
        <v>0.75</v>
      </c>
      <c r="J32" s="64">
        <f t="shared" si="18"/>
        <v>120.60600000000017</v>
      </c>
      <c r="K32" s="56">
        <f t="shared" si="2"/>
        <v>120.45600000000016</v>
      </c>
      <c r="L32" s="56">
        <f t="shared" si="3"/>
        <v>0.2623084577115975</v>
      </c>
      <c r="M32" s="56">
        <f t="shared" si="4"/>
        <v>0.5307661691543899</v>
      </c>
      <c r="N32" s="52">
        <v>0.15</v>
      </c>
      <c r="O32" s="110">
        <f t="shared" si="19"/>
        <v>0</v>
      </c>
      <c r="P32" s="56">
        <f t="shared" si="20"/>
        <v>0.88112339188342093</v>
      </c>
      <c r="Q32" s="110">
        <f t="shared" si="5"/>
        <v>6.2919595135414855E-2</v>
      </c>
      <c r="R32" s="56">
        <f t="shared" si="6"/>
        <v>0</v>
      </c>
      <c r="S32" s="112">
        <f t="shared" si="21"/>
        <v>6.2919595135414855E-2</v>
      </c>
      <c r="T32" s="72">
        <f t="shared" si="7"/>
        <v>1.7155174146594956</v>
      </c>
      <c r="U32" s="111">
        <f t="shared" si="8"/>
        <v>128.65260259187986</v>
      </c>
      <c r="V32" s="110">
        <f t="shared" si="9"/>
        <v>0.59698791755523928</v>
      </c>
      <c r="W32" s="56">
        <f t="shared" si="10"/>
        <v>0.71638550106628707</v>
      </c>
      <c r="X32" s="72">
        <f t="shared" si="22"/>
        <v>1.0045714285714284</v>
      </c>
    </row>
    <row r="33" spans="1:24" x14ac:dyDescent="0.35">
      <c r="A33" s="63">
        <f t="shared" si="13"/>
        <v>28</v>
      </c>
      <c r="B33" s="108">
        <f t="shared" si="0"/>
        <v>30.903428571428563</v>
      </c>
      <c r="C33" s="55">
        <f t="shared" si="11"/>
        <v>119.79279033404407</v>
      </c>
      <c r="D33" s="55">
        <f t="shared" si="1"/>
        <v>119.77433262260128</v>
      </c>
      <c r="E33" s="55">
        <f t="shared" si="14"/>
        <v>120.79279033404407</v>
      </c>
      <c r="F33" s="55">
        <f t="shared" si="15"/>
        <v>120.19279033404408</v>
      </c>
      <c r="G33" s="75">
        <f t="shared" si="16"/>
        <v>0.6</v>
      </c>
      <c r="H33" s="56">
        <f t="shared" si="12"/>
        <v>1</v>
      </c>
      <c r="I33" s="75">
        <f t="shared" si="17"/>
        <v>0.75</v>
      </c>
      <c r="J33" s="64">
        <f t="shared" si="18"/>
        <v>120.45600000000016</v>
      </c>
      <c r="K33" s="56">
        <f t="shared" si="2"/>
        <v>120.30600000000015</v>
      </c>
      <c r="L33" s="56">
        <f t="shared" si="3"/>
        <v>0.26320966595608297</v>
      </c>
      <c r="M33" s="56">
        <f t="shared" si="4"/>
        <v>0.53166737739887537</v>
      </c>
      <c r="N33" s="52">
        <v>0.15</v>
      </c>
      <c r="O33" s="110">
        <f t="shared" si="19"/>
        <v>0</v>
      </c>
      <c r="P33" s="56">
        <f t="shared" si="20"/>
        <v>0.88021597684616137</v>
      </c>
      <c r="Q33" s="110">
        <f t="shared" si="5"/>
        <v>6.3178999736869051E-2</v>
      </c>
      <c r="R33" s="56">
        <f t="shared" si="6"/>
        <v>0</v>
      </c>
      <c r="S33" s="112">
        <f t="shared" si="21"/>
        <v>6.3178999736869051E-2</v>
      </c>
      <c r="T33" s="72">
        <f t="shared" si="7"/>
        <v>1.7155174146594956</v>
      </c>
      <c r="U33" s="111">
        <f t="shared" si="8"/>
        <v>128.9882912119696</v>
      </c>
      <c r="V33" s="110">
        <f t="shared" si="9"/>
        <v>0.59788912579972475</v>
      </c>
      <c r="W33" s="56">
        <f t="shared" si="10"/>
        <v>0.71746695095966972</v>
      </c>
      <c r="X33" s="72">
        <f t="shared" si="22"/>
        <v>1.0045714285714284</v>
      </c>
    </row>
    <row r="34" spans="1:24" x14ac:dyDescent="0.35">
      <c r="A34" s="63">
        <f t="shared" si="13"/>
        <v>27</v>
      </c>
      <c r="B34" s="108">
        <f t="shared" si="0"/>
        <v>29.758857142857135</v>
      </c>
      <c r="C34" s="55">
        <f t="shared" si="11"/>
        <v>119.64188912579958</v>
      </c>
      <c r="D34" s="55">
        <f t="shared" si="1"/>
        <v>119.62343141435679</v>
      </c>
      <c r="E34" s="55">
        <f t="shared" si="14"/>
        <v>120.64188912579958</v>
      </c>
      <c r="F34" s="55">
        <f t="shared" si="15"/>
        <v>120.04188912579959</v>
      </c>
      <c r="G34" s="75">
        <f t="shared" si="16"/>
        <v>0.6</v>
      </c>
      <c r="H34" s="56">
        <f t="shared" si="12"/>
        <v>1</v>
      </c>
      <c r="I34" s="75">
        <f t="shared" si="17"/>
        <v>0.75</v>
      </c>
      <c r="J34" s="64">
        <f t="shared" si="18"/>
        <v>120.30600000000015</v>
      </c>
      <c r="K34" s="56">
        <f t="shared" si="2"/>
        <v>120.15600000000015</v>
      </c>
      <c r="L34" s="56">
        <f t="shared" si="3"/>
        <v>0.26411087420056845</v>
      </c>
      <c r="M34" s="56">
        <f t="shared" si="4"/>
        <v>0.53256858564336085</v>
      </c>
      <c r="N34" s="52">
        <v>0.15</v>
      </c>
      <c r="O34" s="110">
        <f t="shared" si="19"/>
        <v>0</v>
      </c>
      <c r="P34" s="56">
        <f t="shared" si="20"/>
        <v>0.87931122130985095</v>
      </c>
      <c r="Q34" s="110">
        <f t="shared" si="5"/>
        <v>6.3438482693914472E-2</v>
      </c>
      <c r="R34" s="56">
        <f t="shared" si="6"/>
        <v>0</v>
      </c>
      <c r="S34" s="112">
        <f t="shared" si="21"/>
        <v>6.3438482693914472E-2</v>
      </c>
      <c r="T34" s="72">
        <f t="shared" si="7"/>
        <v>1.7155174146594956</v>
      </c>
      <c r="U34" s="111">
        <f t="shared" si="8"/>
        <v>129.32312910957512</v>
      </c>
      <c r="V34" s="110">
        <f t="shared" si="9"/>
        <v>0.59879033404421023</v>
      </c>
      <c r="W34" s="56">
        <f t="shared" si="10"/>
        <v>0.71854840085305227</v>
      </c>
      <c r="X34" s="72">
        <f t="shared" si="22"/>
        <v>1.0045714285714284</v>
      </c>
    </row>
    <row r="35" spans="1:24" x14ac:dyDescent="0.35">
      <c r="A35" s="63">
        <f t="shared" si="13"/>
        <v>26</v>
      </c>
      <c r="B35" s="108">
        <f t="shared" si="0"/>
        <v>28.614285714285707</v>
      </c>
      <c r="C35" s="55">
        <f t="shared" si="11"/>
        <v>119.49098791755509</v>
      </c>
      <c r="D35" s="55">
        <f t="shared" si="1"/>
        <v>119.4725302061123</v>
      </c>
      <c r="E35" s="55">
        <f t="shared" si="14"/>
        <v>120.49098791755509</v>
      </c>
      <c r="F35" s="55">
        <f t="shared" si="15"/>
        <v>119.89098791755509</v>
      </c>
      <c r="G35" s="75">
        <f t="shared" si="16"/>
        <v>0.6</v>
      </c>
      <c r="H35" s="56">
        <f t="shared" si="12"/>
        <v>1</v>
      </c>
      <c r="I35" s="75">
        <f t="shared" si="17"/>
        <v>0.75</v>
      </c>
      <c r="J35" s="64">
        <f t="shared" si="18"/>
        <v>120.15600000000015</v>
      </c>
      <c r="K35" s="56">
        <f t="shared" si="2"/>
        <v>120.00600000000014</v>
      </c>
      <c r="L35" s="56">
        <f t="shared" si="3"/>
        <v>0.26501208244505392</v>
      </c>
      <c r="M35" s="56">
        <f t="shared" si="4"/>
        <v>0.53346979388784632</v>
      </c>
      <c r="N35" s="52">
        <v>0.15</v>
      </c>
      <c r="O35" s="110">
        <f t="shared" si="19"/>
        <v>0</v>
      </c>
      <c r="P35" s="56">
        <f t="shared" si="20"/>
        <v>0.87840912231912127</v>
      </c>
      <c r="Q35" s="110">
        <f t="shared" si="5"/>
        <v>6.3698044076368546E-2</v>
      </c>
      <c r="R35" s="56">
        <f t="shared" si="6"/>
        <v>0</v>
      </c>
      <c r="S35" s="112">
        <f t="shared" si="21"/>
        <v>6.3698044076368546E-2</v>
      </c>
      <c r="T35" s="72">
        <f t="shared" si="7"/>
        <v>1.7155174146594956</v>
      </c>
      <c r="U35" s="111">
        <f t="shared" si="8"/>
        <v>129.65712026217184</v>
      </c>
      <c r="V35" s="110">
        <f t="shared" si="9"/>
        <v>0.5996915422886957</v>
      </c>
      <c r="W35" s="56">
        <f t="shared" si="10"/>
        <v>0.71962985074643482</v>
      </c>
      <c r="X35" s="72">
        <f t="shared" si="22"/>
        <v>1.0045714285714284</v>
      </c>
    </row>
    <row r="36" spans="1:24" x14ac:dyDescent="0.35">
      <c r="A36" s="63">
        <f t="shared" si="13"/>
        <v>25</v>
      </c>
      <c r="B36" s="108">
        <f t="shared" si="0"/>
        <v>27.469714285714279</v>
      </c>
      <c r="C36" s="55">
        <f t="shared" si="11"/>
        <v>119.3400867093106</v>
      </c>
      <c r="D36" s="55">
        <f t="shared" si="1"/>
        <v>119.3216289978678</v>
      </c>
      <c r="E36" s="55">
        <f t="shared" si="14"/>
        <v>120.3400867093106</v>
      </c>
      <c r="F36" s="55">
        <f t="shared" si="15"/>
        <v>119.7400867093106</v>
      </c>
      <c r="G36" s="75">
        <f t="shared" si="16"/>
        <v>0.6</v>
      </c>
      <c r="H36" s="56">
        <f t="shared" si="12"/>
        <v>1</v>
      </c>
      <c r="I36" s="75">
        <f t="shared" si="17"/>
        <v>0.75</v>
      </c>
      <c r="J36" s="64">
        <f t="shared" si="18"/>
        <v>120.00600000000014</v>
      </c>
      <c r="K36" s="56">
        <f t="shared" si="2"/>
        <v>119.85600000000014</v>
      </c>
      <c r="L36" s="56">
        <f t="shared" si="3"/>
        <v>0.26591329068953939</v>
      </c>
      <c r="M36" s="56">
        <f t="shared" si="4"/>
        <v>0.5343710021323318</v>
      </c>
      <c r="N36" s="52">
        <v>0.15</v>
      </c>
      <c r="O36" s="110">
        <f t="shared" si="19"/>
        <v>0</v>
      </c>
      <c r="P36" s="56">
        <f t="shared" si="20"/>
        <v>0.87750967663958024</v>
      </c>
      <c r="Q36" s="110">
        <f t="shared" si="5"/>
        <v>6.395768394811073E-2</v>
      </c>
      <c r="R36" s="56">
        <f t="shared" si="6"/>
        <v>0</v>
      </c>
      <c r="S36" s="112">
        <f t="shared" si="21"/>
        <v>6.395768394811073E-2</v>
      </c>
      <c r="T36" s="72">
        <f t="shared" si="7"/>
        <v>1.7155174146594956</v>
      </c>
      <c r="U36" s="111">
        <f t="shared" si="8"/>
        <v>129.99026861129332</v>
      </c>
      <c r="V36" s="110">
        <f t="shared" si="9"/>
        <v>0.60059275053318117</v>
      </c>
      <c r="W36" s="56">
        <f t="shared" si="10"/>
        <v>0.72071130063981736</v>
      </c>
      <c r="X36" s="72">
        <f t="shared" si="22"/>
        <v>1.0045714285714284</v>
      </c>
    </row>
    <row r="37" spans="1:24" x14ac:dyDescent="0.35">
      <c r="A37" s="63">
        <f t="shared" si="13"/>
        <v>24</v>
      </c>
      <c r="B37" s="108">
        <f t="shared" si="0"/>
        <v>26.325142857142851</v>
      </c>
      <c r="C37" s="55">
        <f t="shared" si="11"/>
        <v>119.18918550106611</v>
      </c>
      <c r="D37" s="55">
        <f t="shared" si="1"/>
        <v>119.17072778962331</v>
      </c>
      <c r="E37" s="55">
        <f t="shared" si="14"/>
        <v>120.18918550106611</v>
      </c>
      <c r="F37" s="55">
        <f t="shared" si="15"/>
        <v>119.58918550106611</v>
      </c>
      <c r="G37" s="75">
        <f t="shared" si="16"/>
        <v>0.6</v>
      </c>
      <c r="H37" s="56">
        <f t="shared" si="12"/>
        <v>1</v>
      </c>
      <c r="I37" s="75">
        <f t="shared" si="17"/>
        <v>0.75</v>
      </c>
      <c r="J37" s="64">
        <f t="shared" si="18"/>
        <v>119.85600000000014</v>
      </c>
      <c r="K37" s="56">
        <f t="shared" si="2"/>
        <v>119.70600000000013</v>
      </c>
      <c r="L37" s="56">
        <f t="shared" si="3"/>
        <v>0.26681449893402487</v>
      </c>
      <c r="M37" s="56">
        <f t="shared" si="4"/>
        <v>0.53527221037681727</v>
      </c>
      <c r="N37" s="52">
        <v>0.15</v>
      </c>
      <c r="O37" s="110">
        <f t="shared" si="19"/>
        <v>0</v>
      </c>
      <c r="P37" s="56">
        <f t="shared" si="20"/>
        <v>0.87661288076900667</v>
      </c>
      <c r="Q37" s="110">
        <f t="shared" si="5"/>
        <v>6.421740236727233E-2</v>
      </c>
      <c r="R37" s="56">
        <f t="shared" si="6"/>
        <v>0</v>
      </c>
      <c r="S37" s="112">
        <f t="shared" si="21"/>
        <v>6.421740236727233E-2</v>
      </c>
      <c r="T37" s="72">
        <f t="shared" si="7"/>
        <v>1.7155174146594956</v>
      </c>
      <c r="U37" s="111">
        <f t="shared" si="8"/>
        <v>130.32257806318563</v>
      </c>
      <c r="V37" s="110">
        <f t="shared" si="9"/>
        <v>0.60149395877766665</v>
      </c>
      <c r="W37" s="56">
        <f t="shared" si="10"/>
        <v>0.72179275053319991</v>
      </c>
      <c r="X37" s="72">
        <f t="shared" si="22"/>
        <v>1.0045714285714284</v>
      </c>
    </row>
    <row r="38" spans="1:24" x14ac:dyDescent="0.35">
      <c r="A38" s="63">
        <f t="shared" si="13"/>
        <v>23</v>
      </c>
      <c r="B38" s="108">
        <f t="shared" si="0"/>
        <v>25.180571428571422</v>
      </c>
      <c r="C38" s="55">
        <f t="shared" si="11"/>
        <v>119.03828429282161</v>
      </c>
      <c r="D38" s="55">
        <f t="shared" si="1"/>
        <v>119.01982658137882</v>
      </c>
      <c r="E38" s="55">
        <f t="shared" si="14"/>
        <v>120.03828429282161</v>
      </c>
      <c r="F38" s="55">
        <f t="shared" si="15"/>
        <v>119.43828429282162</v>
      </c>
      <c r="G38" s="75">
        <f t="shared" si="16"/>
        <v>0.6</v>
      </c>
      <c r="H38" s="56">
        <f t="shared" si="12"/>
        <v>1</v>
      </c>
      <c r="I38" s="75">
        <f t="shared" si="17"/>
        <v>0.75</v>
      </c>
      <c r="J38" s="64">
        <f t="shared" si="18"/>
        <v>119.70600000000013</v>
      </c>
      <c r="K38" s="56">
        <f t="shared" si="2"/>
        <v>119.55900000000013</v>
      </c>
      <c r="L38" s="56">
        <f t="shared" si="3"/>
        <v>0.26771570717851034</v>
      </c>
      <c r="M38" s="56">
        <f t="shared" si="4"/>
        <v>0.53917341862130286</v>
      </c>
      <c r="N38" s="52">
        <v>0.14699999999999999</v>
      </c>
      <c r="O38" s="110">
        <f t="shared" si="19"/>
        <v>0</v>
      </c>
      <c r="P38" s="56">
        <f t="shared" si="20"/>
        <v>0.87035433709755672</v>
      </c>
      <c r="Q38" s="110">
        <f t="shared" si="5"/>
        <v>6.4082231139575688E-2</v>
      </c>
      <c r="R38" s="56">
        <f t="shared" si="6"/>
        <v>0</v>
      </c>
      <c r="S38" s="112">
        <f t="shared" si="21"/>
        <v>6.4082231139575688E-2</v>
      </c>
      <c r="T38" s="72">
        <f t="shared" si="7"/>
        <v>1.6982755960090812</v>
      </c>
      <c r="U38" s="111">
        <f t="shared" si="8"/>
        <v>126.62601761478803</v>
      </c>
      <c r="V38" s="110">
        <f t="shared" si="9"/>
        <v>0.60539516702215224</v>
      </c>
      <c r="W38" s="56">
        <f t="shared" si="10"/>
        <v>0.72647420042658262</v>
      </c>
      <c r="X38" s="72">
        <f t="shared" si="22"/>
        <v>1.0045714285714284</v>
      </c>
    </row>
    <row r="39" spans="1:24" x14ac:dyDescent="0.35">
      <c r="A39" s="63">
        <f t="shared" si="13"/>
        <v>22</v>
      </c>
      <c r="B39" s="108">
        <f t="shared" si="0"/>
        <v>24.035999999999994</v>
      </c>
      <c r="C39" s="55">
        <f t="shared" si="11"/>
        <v>118.88738308457712</v>
      </c>
      <c r="D39" s="55">
        <f t="shared" si="1"/>
        <v>118.86892537313433</v>
      </c>
      <c r="E39" s="55">
        <f t="shared" si="14"/>
        <v>119.88738308457712</v>
      </c>
      <c r="F39" s="55">
        <f t="shared" si="15"/>
        <v>119.28738308457713</v>
      </c>
      <c r="G39" s="75">
        <f t="shared" si="16"/>
        <v>0.6</v>
      </c>
      <c r="H39" s="56">
        <f t="shared" si="12"/>
        <v>1</v>
      </c>
      <c r="I39" s="75">
        <f t="shared" si="17"/>
        <v>0.75</v>
      </c>
      <c r="J39" s="64">
        <f t="shared" si="18"/>
        <v>119.55900000000013</v>
      </c>
      <c r="K39" s="56">
        <f t="shared" si="2"/>
        <v>119.41200000000012</v>
      </c>
      <c r="L39" s="56">
        <f t="shared" si="3"/>
        <v>0.27161691542299593</v>
      </c>
      <c r="M39" s="56">
        <f t="shared" si="4"/>
        <v>0.54307462686578845</v>
      </c>
      <c r="N39" s="52">
        <v>0.14699999999999999</v>
      </c>
      <c r="O39" s="110">
        <f t="shared" si="19"/>
        <v>0</v>
      </c>
      <c r="P39" s="56">
        <f t="shared" si="20"/>
        <v>0.86650632278360262</v>
      </c>
      <c r="Q39" s="110">
        <f t="shared" si="5"/>
        <v>6.5198514832556065E-2</v>
      </c>
      <c r="R39" s="56">
        <f t="shared" si="6"/>
        <v>0</v>
      </c>
      <c r="S39" s="112">
        <f t="shared" si="21"/>
        <v>6.5198514832556065E-2</v>
      </c>
      <c r="T39" s="72">
        <f t="shared" si="7"/>
        <v>1.6982755960090812</v>
      </c>
      <c r="U39" s="111">
        <f t="shared" si="8"/>
        <v>128.00690068163385</v>
      </c>
      <c r="V39" s="110">
        <f t="shared" si="9"/>
        <v>0.60929637526663782</v>
      </c>
      <c r="W39" s="56">
        <f t="shared" si="10"/>
        <v>0.73115565031996532</v>
      </c>
      <c r="X39" s="72">
        <f t="shared" si="22"/>
        <v>1.0045714285714284</v>
      </c>
    </row>
    <row r="40" spans="1:24" x14ac:dyDescent="0.35">
      <c r="A40" s="63">
        <f t="shared" si="13"/>
        <v>21</v>
      </c>
      <c r="B40" s="108">
        <f t="shared" si="0"/>
        <v>22.891428571428566</v>
      </c>
      <c r="C40" s="55">
        <f t="shared" si="11"/>
        <v>118.73648187633263</v>
      </c>
      <c r="D40" s="55">
        <f t="shared" si="1"/>
        <v>118.71802416488984</v>
      </c>
      <c r="E40" s="55">
        <f t="shared" si="14"/>
        <v>119.73648187633263</v>
      </c>
      <c r="F40" s="55">
        <f t="shared" si="15"/>
        <v>119.13648187633264</v>
      </c>
      <c r="G40" s="75">
        <f t="shared" si="16"/>
        <v>0.6</v>
      </c>
      <c r="H40" s="56">
        <f t="shared" si="12"/>
        <v>1</v>
      </c>
      <c r="I40" s="75">
        <f t="shared" si="17"/>
        <v>0.75</v>
      </c>
      <c r="J40" s="64">
        <f t="shared" si="18"/>
        <v>119.41200000000012</v>
      </c>
      <c r="K40" s="56">
        <f t="shared" si="2"/>
        <v>119.26500000000011</v>
      </c>
      <c r="L40" s="56">
        <f t="shared" si="3"/>
        <v>0.27551812366748152</v>
      </c>
      <c r="M40" s="56">
        <f t="shared" si="4"/>
        <v>0.54697583511027403</v>
      </c>
      <c r="N40" s="52">
        <v>0.14699999999999999</v>
      </c>
      <c r="O40" s="110">
        <f t="shared" si="19"/>
        <v>0</v>
      </c>
      <c r="P40" s="56">
        <f t="shared" si="20"/>
        <v>0.86270879121869315</v>
      </c>
      <c r="Q40" s="110">
        <f t="shared" si="5"/>
        <v>6.6316291128035956E-2</v>
      </c>
      <c r="R40" s="56">
        <f t="shared" si="6"/>
        <v>0</v>
      </c>
      <c r="S40" s="112">
        <f t="shared" si="21"/>
        <v>6.6316291128035956E-2</v>
      </c>
      <c r="T40" s="72">
        <f t="shared" si="7"/>
        <v>1.6982755960090812</v>
      </c>
      <c r="U40" s="111">
        <f t="shared" si="8"/>
        <v>129.37312503200704</v>
      </c>
      <c r="V40" s="110">
        <f t="shared" si="9"/>
        <v>0.61319758351112341</v>
      </c>
      <c r="W40" s="56">
        <f t="shared" si="10"/>
        <v>0.73583710021334803</v>
      </c>
      <c r="X40" s="72">
        <f t="shared" si="22"/>
        <v>1.0045714285714284</v>
      </c>
    </row>
    <row r="41" spans="1:24" x14ac:dyDescent="0.35">
      <c r="A41" s="63">
        <f t="shared" si="13"/>
        <v>20</v>
      </c>
      <c r="B41" s="108">
        <f t="shared" si="0"/>
        <v>21.746857142857138</v>
      </c>
      <c r="C41" s="55">
        <f t="shared" si="11"/>
        <v>118.58558066808814</v>
      </c>
      <c r="D41" s="55">
        <f t="shared" si="1"/>
        <v>118.56712295664535</v>
      </c>
      <c r="E41" s="55">
        <f t="shared" si="14"/>
        <v>119.58558066808814</v>
      </c>
      <c r="F41" s="55">
        <f t="shared" si="15"/>
        <v>118.98558066808815</v>
      </c>
      <c r="G41" s="75">
        <f t="shared" si="16"/>
        <v>0.6</v>
      </c>
      <c r="H41" s="56">
        <f t="shared" si="12"/>
        <v>1</v>
      </c>
      <c r="I41" s="75">
        <f t="shared" si="17"/>
        <v>0.75</v>
      </c>
      <c r="J41" s="64">
        <f t="shared" si="18"/>
        <v>119.26500000000011</v>
      </c>
      <c r="K41" s="56">
        <f t="shared" si="2"/>
        <v>119.11800000000011</v>
      </c>
      <c r="L41" s="56">
        <f t="shared" si="3"/>
        <v>0.27941933191196711</v>
      </c>
      <c r="M41" s="56">
        <f t="shared" si="4"/>
        <v>0.55087704335475962</v>
      </c>
      <c r="N41" s="52">
        <v>0.14699999999999999</v>
      </c>
      <c r="O41" s="110">
        <f t="shared" si="19"/>
        <v>0</v>
      </c>
      <c r="P41" s="56">
        <f t="shared" si="20"/>
        <v>0.85896118824587153</v>
      </c>
      <c r="Q41" s="110">
        <f t="shared" si="5"/>
        <v>6.7435559224766226E-2</v>
      </c>
      <c r="R41" s="56">
        <f t="shared" si="6"/>
        <v>0</v>
      </c>
      <c r="S41" s="112">
        <f t="shared" si="21"/>
        <v>6.7435559224766226E-2</v>
      </c>
      <c r="T41" s="72">
        <f t="shared" si="7"/>
        <v>1.6982755960090812</v>
      </c>
      <c r="U41" s="111">
        <f t="shared" si="8"/>
        <v>130.72496712345298</v>
      </c>
      <c r="V41" s="110">
        <f t="shared" si="9"/>
        <v>0.617098791755609</v>
      </c>
      <c r="W41" s="56">
        <f t="shared" si="10"/>
        <v>0.74051855010673073</v>
      </c>
      <c r="X41" s="72">
        <f t="shared" si="22"/>
        <v>1.0045714285714284</v>
      </c>
    </row>
    <row r="42" spans="1:24" x14ac:dyDescent="0.35">
      <c r="A42" s="63">
        <f t="shared" si="13"/>
        <v>19</v>
      </c>
      <c r="B42" s="108">
        <f t="shared" si="0"/>
        <v>20.60228571428571</v>
      </c>
      <c r="C42" s="55">
        <f t="shared" si="11"/>
        <v>118.43467945984365</v>
      </c>
      <c r="D42" s="55">
        <f t="shared" si="1"/>
        <v>118.41622174840086</v>
      </c>
      <c r="E42" s="55">
        <f t="shared" si="14"/>
        <v>119.43467945984365</v>
      </c>
      <c r="F42" s="55">
        <f t="shared" si="15"/>
        <v>118.83467945984366</v>
      </c>
      <c r="G42" s="75">
        <f t="shared" si="16"/>
        <v>0.6</v>
      </c>
      <c r="H42" s="56">
        <f t="shared" si="12"/>
        <v>1</v>
      </c>
      <c r="I42" s="75">
        <f t="shared" si="17"/>
        <v>0.75</v>
      </c>
      <c r="J42" s="64">
        <f t="shared" si="18"/>
        <v>119.11800000000011</v>
      </c>
      <c r="K42" s="56">
        <f t="shared" si="2"/>
        <v>118.9710000000001</v>
      </c>
      <c r="L42" s="56">
        <f t="shared" si="3"/>
        <v>0.28332054015645269</v>
      </c>
      <c r="M42" s="56">
        <f t="shared" si="4"/>
        <v>0.55477825159924521</v>
      </c>
      <c r="N42" s="52">
        <v>0.14699999999999999</v>
      </c>
      <c r="O42" s="110">
        <f t="shared" si="19"/>
        <v>0</v>
      </c>
      <c r="P42" s="56">
        <f t="shared" si="20"/>
        <v>0.85526291254069198</v>
      </c>
      <c r="Q42" s="110">
        <f t="shared" si="5"/>
        <v>6.8556317119721003E-2</v>
      </c>
      <c r="R42" s="56">
        <f t="shared" si="6"/>
        <v>0</v>
      </c>
      <c r="S42" s="112">
        <f t="shared" si="21"/>
        <v>6.8556317119721003E-2</v>
      </c>
      <c r="T42" s="72">
        <f t="shared" si="7"/>
        <v>1.6982755960090812</v>
      </c>
      <c r="U42" s="111">
        <f t="shared" si="8"/>
        <v>132.06269415150919</v>
      </c>
      <c r="V42" s="110">
        <f t="shared" si="9"/>
        <v>0.62100000000009459</v>
      </c>
      <c r="W42" s="56">
        <f t="shared" si="10"/>
        <v>0.74520000000011344</v>
      </c>
      <c r="X42" s="72">
        <f t="shared" si="22"/>
        <v>1.0045714285714284</v>
      </c>
    </row>
    <row r="43" spans="1:24" x14ac:dyDescent="0.35">
      <c r="A43" s="63">
        <f t="shared" si="13"/>
        <v>18</v>
      </c>
      <c r="B43" s="108">
        <f t="shared" si="0"/>
        <v>19.457714285714282</v>
      </c>
      <c r="C43" s="55">
        <f t="shared" si="11"/>
        <v>118.28377825159916</v>
      </c>
      <c r="D43" s="55">
        <f t="shared" si="1"/>
        <v>118.26532054015637</v>
      </c>
      <c r="E43" s="55">
        <f t="shared" si="14"/>
        <v>119.28377825159916</v>
      </c>
      <c r="F43" s="55">
        <f t="shared" si="15"/>
        <v>118.68377825159916</v>
      </c>
      <c r="G43" s="75">
        <f t="shared" si="16"/>
        <v>0.6</v>
      </c>
      <c r="H43" s="56">
        <f t="shared" si="12"/>
        <v>1</v>
      </c>
      <c r="I43" s="75">
        <f t="shared" si="17"/>
        <v>0.75</v>
      </c>
      <c r="J43" s="64">
        <f t="shared" si="18"/>
        <v>118.9710000000001</v>
      </c>
      <c r="K43" s="56">
        <f t="shared" si="2"/>
        <v>118.8240000000001</v>
      </c>
      <c r="L43" s="56">
        <f t="shared" si="3"/>
        <v>0.28722174840093828</v>
      </c>
      <c r="M43" s="56">
        <f t="shared" si="4"/>
        <v>0.5586794598437308</v>
      </c>
      <c r="N43" s="52">
        <v>0.14699999999999999</v>
      </c>
      <c r="O43" s="110">
        <f t="shared" si="19"/>
        <v>0</v>
      </c>
      <c r="P43" s="56">
        <f t="shared" si="20"/>
        <v>0.85161332461284944</v>
      </c>
      <c r="Q43" s="110">
        <f t="shared" si="5"/>
        <v>6.9678561765035021E-2</v>
      </c>
      <c r="R43" s="56">
        <f t="shared" si="6"/>
        <v>0</v>
      </c>
      <c r="S43" s="112">
        <f t="shared" si="21"/>
        <v>6.9678561765035021E-2</v>
      </c>
      <c r="T43" s="72">
        <f t="shared" si="7"/>
        <v>1.6982755960090812</v>
      </c>
      <c r="U43" s="111">
        <f t="shared" si="8"/>
        <v>133.38656463924227</v>
      </c>
      <c r="V43" s="110">
        <f t="shared" si="9"/>
        <v>0.62490120824458018</v>
      </c>
      <c r="W43" s="56">
        <f t="shared" si="10"/>
        <v>0.74988144989349614</v>
      </c>
      <c r="X43" s="72">
        <f t="shared" si="22"/>
        <v>1.0045714285714284</v>
      </c>
    </row>
    <row r="44" spans="1:24" x14ac:dyDescent="0.35">
      <c r="A44" s="63">
        <f t="shared" si="13"/>
        <v>17</v>
      </c>
      <c r="B44" s="108">
        <f t="shared" si="0"/>
        <v>18.313142857142854</v>
      </c>
      <c r="C44" s="55">
        <f t="shared" si="11"/>
        <v>118.13287704335467</v>
      </c>
      <c r="D44" s="55">
        <f t="shared" si="1"/>
        <v>118.11441933191188</v>
      </c>
      <c r="E44" s="55">
        <f t="shared" si="14"/>
        <v>119.13287704335467</v>
      </c>
      <c r="F44" s="55">
        <f t="shared" si="15"/>
        <v>118.53287704335467</v>
      </c>
      <c r="G44" s="75">
        <f t="shared" si="16"/>
        <v>0.6</v>
      </c>
      <c r="H44" s="56">
        <f t="shared" si="12"/>
        <v>1</v>
      </c>
      <c r="I44" s="75">
        <f t="shared" si="17"/>
        <v>0.75</v>
      </c>
      <c r="J44" s="64">
        <f t="shared" si="18"/>
        <v>118.8240000000001</v>
      </c>
      <c r="K44" s="56">
        <f t="shared" si="2"/>
        <v>118.68300000000009</v>
      </c>
      <c r="L44" s="56">
        <f t="shared" si="3"/>
        <v>0.29112295664542387</v>
      </c>
      <c r="M44" s="56">
        <f t="shared" si="4"/>
        <v>0.56858066808821661</v>
      </c>
      <c r="N44" s="52">
        <v>0.14099999999999999</v>
      </c>
      <c r="O44" s="110">
        <f t="shared" si="19"/>
        <v>0</v>
      </c>
      <c r="P44" s="56">
        <f t="shared" si="20"/>
        <v>0.83688533487510619</v>
      </c>
      <c r="Q44" s="110">
        <f t="shared" si="5"/>
        <v>6.9873320972224609E-2</v>
      </c>
      <c r="R44" s="56">
        <f t="shared" si="6"/>
        <v>0</v>
      </c>
      <c r="S44" s="112">
        <f t="shared" si="21"/>
        <v>6.9873320972224609E-2</v>
      </c>
      <c r="T44" s="72">
        <f t="shared" si="7"/>
        <v>1.6632558432183546</v>
      </c>
      <c r="U44" s="111">
        <f t="shared" si="8"/>
        <v>126.29869574521121</v>
      </c>
      <c r="V44" s="110">
        <f t="shared" si="9"/>
        <v>0.63480241648906599</v>
      </c>
      <c r="W44" s="56">
        <f t="shared" si="10"/>
        <v>0.76176289978687917</v>
      </c>
      <c r="X44" s="72">
        <f t="shared" si="22"/>
        <v>1.0045714285714284</v>
      </c>
    </row>
    <row r="45" spans="1:24" x14ac:dyDescent="0.35">
      <c r="A45" s="63">
        <f t="shared" si="13"/>
        <v>16</v>
      </c>
      <c r="B45" s="108">
        <f t="shared" si="0"/>
        <v>17.168571428571425</v>
      </c>
      <c r="C45" s="55">
        <f t="shared" si="11"/>
        <v>117.98197583511018</v>
      </c>
      <c r="D45" s="55">
        <f t="shared" si="1"/>
        <v>117.96351812366738</v>
      </c>
      <c r="E45" s="55">
        <f t="shared" si="14"/>
        <v>118.98197583511018</v>
      </c>
      <c r="F45" s="55">
        <f t="shared" si="15"/>
        <v>118.38197583511018</v>
      </c>
      <c r="G45" s="75">
        <f t="shared" si="16"/>
        <v>0.6</v>
      </c>
      <c r="H45" s="56">
        <f t="shared" si="12"/>
        <v>1</v>
      </c>
      <c r="I45" s="75">
        <f t="shared" si="17"/>
        <v>0.75</v>
      </c>
      <c r="J45" s="64">
        <f t="shared" si="18"/>
        <v>118.68300000000009</v>
      </c>
      <c r="K45" s="56">
        <f t="shared" si="2"/>
        <v>118.54200000000009</v>
      </c>
      <c r="L45" s="56">
        <f t="shared" si="3"/>
        <v>0.30102416488990968</v>
      </c>
      <c r="M45" s="56">
        <f t="shared" si="4"/>
        <v>0.57848187633270243</v>
      </c>
      <c r="N45" s="52">
        <v>0.14099999999999999</v>
      </c>
      <c r="O45" s="110">
        <f t="shared" si="19"/>
        <v>0</v>
      </c>
      <c r="P45" s="56">
        <f t="shared" si="20"/>
        <v>0.82796191726220547</v>
      </c>
      <c r="Q45" s="110">
        <f t="shared" si="5"/>
        <v>7.2684724635503364E-2</v>
      </c>
      <c r="R45" s="56">
        <f t="shared" si="6"/>
        <v>0</v>
      </c>
      <c r="S45" s="112">
        <f t="shared" si="21"/>
        <v>7.2684724635503364E-2</v>
      </c>
      <c r="T45" s="72">
        <f t="shared" si="7"/>
        <v>1.6632558432183546</v>
      </c>
      <c r="U45" s="111">
        <f t="shared" si="8"/>
        <v>129.3627053746593</v>
      </c>
      <c r="V45" s="110">
        <f t="shared" si="9"/>
        <v>0.64470362473355181</v>
      </c>
      <c r="W45" s="56">
        <f t="shared" si="10"/>
        <v>0.77364434968026219</v>
      </c>
      <c r="X45" s="72">
        <f t="shared" si="22"/>
        <v>1.0045714285714284</v>
      </c>
    </row>
    <row r="46" spans="1:24" x14ac:dyDescent="0.35">
      <c r="A46" s="63">
        <f t="shared" si="13"/>
        <v>15</v>
      </c>
      <c r="B46" s="108">
        <f t="shared" si="0"/>
        <v>16.023999999999997</v>
      </c>
      <c r="C46" s="55">
        <f t="shared" si="11"/>
        <v>117.83107462686569</v>
      </c>
      <c r="D46" s="55">
        <f t="shared" si="1"/>
        <v>117.81261691542289</v>
      </c>
      <c r="E46" s="55">
        <f t="shared" si="14"/>
        <v>118.83107462686569</v>
      </c>
      <c r="F46" s="55">
        <f t="shared" si="15"/>
        <v>118.23107462686569</v>
      </c>
      <c r="G46" s="75">
        <f t="shared" si="16"/>
        <v>0.6</v>
      </c>
      <c r="H46" s="56">
        <f t="shared" si="12"/>
        <v>1</v>
      </c>
      <c r="I46" s="75">
        <f t="shared" si="17"/>
        <v>0.75</v>
      </c>
      <c r="J46" s="64">
        <f t="shared" si="18"/>
        <v>118.54200000000009</v>
      </c>
      <c r="K46" s="56">
        <f t="shared" si="2"/>
        <v>118.40400000000008</v>
      </c>
      <c r="L46" s="56">
        <f t="shared" si="3"/>
        <v>0.3109253731343955</v>
      </c>
      <c r="M46" s="56">
        <f t="shared" si="4"/>
        <v>0.59138308457718836</v>
      </c>
      <c r="N46" s="52">
        <v>0.13800000000000001</v>
      </c>
      <c r="O46" s="110">
        <f t="shared" si="19"/>
        <v>0</v>
      </c>
      <c r="P46" s="56">
        <f t="shared" si="20"/>
        <v>0.81362013705483338</v>
      </c>
      <c r="Q46" s="110">
        <f t="shared" si="5"/>
        <v>7.4978488755912176E-2</v>
      </c>
      <c r="R46" s="56">
        <f t="shared" si="6"/>
        <v>0</v>
      </c>
      <c r="S46" s="112">
        <f t="shared" si="21"/>
        <v>7.4978488755912176E-2</v>
      </c>
      <c r="T46" s="72">
        <f t="shared" si="7"/>
        <v>1.6454664992031895</v>
      </c>
      <c r="U46" s="111">
        <f t="shared" si="8"/>
        <v>128.04355164658122</v>
      </c>
      <c r="V46" s="110">
        <f t="shared" si="9"/>
        <v>0.65760483297803773</v>
      </c>
      <c r="W46" s="56">
        <f t="shared" si="10"/>
        <v>0.78912579957364526</v>
      </c>
      <c r="X46" s="72">
        <f t="shared" si="22"/>
        <v>1.0045714285714284</v>
      </c>
    </row>
    <row r="47" spans="1:24" x14ac:dyDescent="0.35">
      <c r="A47" s="63">
        <f t="shared" si="13"/>
        <v>14</v>
      </c>
      <c r="B47" s="108">
        <f t="shared" si="0"/>
        <v>14.879428571428569</v>
      </c>
      <c r="C47" s="55">
        <f t="shared" si="11"/>
        <v>117.68017341862119</v>
      </c>
      <c r="D47" s="55">
        <f t="shared" si="1"/>
        <v>117.6617157071784</v>
      </c>
      <c r="E47" s="55">
        <f t="shared" si="14"/>
        <v>118.68017341862119</v>
      </c>
      <c r="F47" s="55">
        <f t="shared" si="15"/>
        <v>118.0801734186212</v>
      </c>
      <c r="G47" s="75">
        <f t="shared" si="16"/>
        <v>0.6</v>
      </c>
      <c r="H47" s="56">
        <f t="shared" si="12"/>
        <v>1</v>
      </c>
      <c r="I47" s="75">
        <f t="shared" si="17"/>
        <v>0.75</v>
      </c>
      <c r="J47" s="64">
        <f t="shared" si="18"/>
        <v>118.40400000000008</v>
      </c>
      <c r="K47" s="56">
        <f t="shared" si="2"/>
        <v>118.26600000000008</v>
      </c>
      <c r="L47" s="56">
        <f t="shared" si="3"/>
        <v>0.32382658137888143</v>
      </c>
      <c r="M47" s="56">
        <f t="shared" si="4"/>
        <v>0.60428429282167428</v>
      </c>
      <c r="N47" s="52">
        <v>0.13800000000000001</v>
      </c>
      <c r="O47" s="110">
        <f t="shared" si="19"/>
        <v>0</v>
      </c>
      <c r="P47" s="56">
        <f t="shared" si="20"/>
        <v>0.80283520929521301</v>
      </c>
      <c r="Q47" s="110">
        <f t="shared" si="5"/>
        <v>7.8636812423193148E-2</v>
      </c>
      <c r="R47" s="56">
        <f t="shared" si="6"/>
        <v>0</v>
      </c>
      <c r="S47" s="112">
        <f t="shared" si="21"/>
        <v>7.8636812423193148E-2</v>
      </c>
      <c r="T47" s="72">
        <f t="shared" si="7"/>
        <v>1.6454664992031895</v>
      </c>
      <c r="U47" s="111">
        <f t="shared" si="8"/>
        <v>131.70711336038258</v>
      </c>
      <c r="V47" s="110">
        <f t="shared" si="9"/>
        <v>0.67050604122252366</v>
      </c>
      <c r="W47" s="56">
        <f t="shared" si="10"/>
        <v>0.80460724946702833</v>
      </c>
      <c r="X47" s="72">
        <f t="shared" si="22"/>
        <v>1.0045714285714284</v>
      </c>
    </row>
    <row r="48" spans="1:24" x14ac:dyDescent="0.35">
      <c r="A48" s="63">
        <f t="shared" si="13"/>
        <v>13</v>
      </c>
      <c r="B48" s="108">
        <f t="shared" si="0"/>
        <v>13.734857142857141</v>
      </c>
      <c r="C48" s="55">
        <f t="shared" si="11"/>
        <v>117.5292722103767</v>
      </c>
      <c r="D48" s="55">
        <f t="shared" si="1"/>
        <v>117.51081449893391</v>
      </c>
      <c r="E48" s="55">
        <f t="shared" si="14"/>
        <v>118.5292722103767</v>
      </c>
      <c r="F48" s="55">
        <f t="shared" si="15"/>
        <v>117.92927221037671</v>
      </c>
      <c r="G48" s="75">
        <f t="shared" si="16"/>
        <v>0.6</v>
      </c>
      <c r="H48" s="56">
        <f t="shared" si="12"/>
        <v>1</v>
      </c>
      <c r="I48" s="75">
        <f t="shared" si="17"/>
        <v>0.75</v>
      </c>
      <c r="J48" s="64">
        <f t="shared" si="18"/>
        <v>118.26600000000008</v>
      </c>
      <c r="K48" s="56">
        <f t="shared" si="2"/>
        <v>118.12800000000007</v>
      </c>
      <c r="L48" s="56">
        <f t="shared" si="3"/>
        <v>0.33672778962336736</v>
      </c>
      <c r="M48" s="56">
        <f t="shared" si="4"/>
        <v>0.61718550106616021</v>
      </c>
      <c r="N48" s="52">
        <v>0.13800000000000001</v>
      </c>
      <c r="O48" s="110">
        <f t="shared" si="19"/>
        <v>0</v>
      </c>
      <c r="P48" s="56">
        <f t="shared" si="20"/>
        <v>0.79251347514114145</v>
      </c>
      <c r="Q48" s="110">
        <f t="shared" si="5"/>
        <v>8.2310614149136388E-2</v>
      </c>
      <c r="R48" s="56">
        <f t="shared" si="6"/>
        <v>0</v>
      </c>
      <c r="S48" s="112">
        <f t="shared" si="21"/>
        <v>8.2310614149136388E-2</v>
      </c>
      <c r="T48" s="72">
        <f t="shared" si="7"/>
        <v>1.6454664992031895</v>
      </c>
      <c r="U48" s="111">
        <f t="shared" si="8"/>
        <v>135.25778977126851</v>
      </c>
      <c r="V48" s="110">
        <f t="shared" si="9"/>
        <v>0.68340724946700959</v>
      </c>
      <c r="W48" s="56">
        <f t="shared" si="10"/>
        <v>0.82008869936041151</v>
      </c>
      <c r="X48" s="72">
        <f t="shared" si="22"/>
        <v>1.0045714285714284</v>
      </c>
    </row>
    <row r="49" spans="1:24" x14ac:dyDescent="0.35">
      <c r="A49" s="63">
        <f t="shared" si="13"/>
        <v>12</v>
      </c>
      <c r="B49" s="108">
        <f t="shared" si="0"/>
        <v>12.590285714285713</v>
      </c>
      <c r="C49" s="55">
        <f t="shared" si="11"/>
        <v>117.37837100213221</v>
      </c>
      <c r="D49" s="55">
        <f t="shared" si="1"/>
        <v>117.35991329068942</v>
      </c>
      <c r="E49" s="55">
        <f t="shared" si="14"/>
        <v>118.37837100213221</v>
      </c>
      <c r="F49" s="55">
        <f t="shared" si="15"/>
        <v>117.77837100213222</v>
      </c>
      <c r="G49" s="75">
        <f t="shared" si="16"/>
        <v>0.6</v>
      </c>
      <c r="H49" s="56">
        <f t="shared" si="12"/>
        <v>1</v>
      </c>
      <c r="I49" s="75">
        <f t="shared" si="17"/>
        <v>0.75</v>
      </c>
      <c r="J49" s="64">
        <f t="shared" si="18"/>
        <v>118.12800000000007</v>
      </c>
      <c r="K49" s="56">
        <f t="shared" si="2"/>
        <v>117.99000000000007</v>
      </c>
      <c r="L49" s="56">
        <f t="shared" si="3"/>
        <v>0.34962899786785329</v>
      </c>
      <c r="M49" s="56">
        <f t="shared" si="4"/>
        <v>0.63008670931064614</v>
      </c>
      <c r="N49" s="52">
        <v>0.13800000000000001</v>
      </c>
      <c r="O49" s="110">
        <f t="shared" si="19"/>
        <v>0</v>
      </c>
      <c r="P49" s="56">
        <f t="shared" si="20"/>
        <v>0.78262585188494271</v>
      </c>
      <c r="Q49" s="110">
        <f t="shared" si="5"/>
        <v>8.5999535427998999E-2</v>
      </c>
      <c r="R49" s="56">
        <f t="shared" si="6"/>
        <v>0</v>
      </c>
      <c r="S49" s="112">
        <f t="shared" si="21"/>
        <v>8.5999535427998999E-2</v>
      </c>
      <c r="T49" s="72">
        <f t="shared" si="7"/>
        <v>1.6454664992031895</v>
      </c>
      <c r="U49" s="111">
        <f t="shared" si="8"/>
        <v>138.70127729524091</v>
      </c>
      <c r="V49" s="110">
        <f t="shared" si="9"/>
        <v>0.69630845771149552</v>
      </c>
      <c r="W49" s="56">
        <f t="shared" si="10"/>
        <v>0.83557014925379458</v>
      </c>
      <c r="X49" s="72">
        <f t="shared" si="22"/>
        <v>1.0045714285714284</v>
      </c>
    </row>
    <row r="50" spans="1:24" x14ac:dyDescent="0.35">
      <c r="A50" s="63">
        <f t="shared" si="13"/>
        <v>11</v>
      </c>
      <c r="B50" s="108">
        <f t="shared" si="0"/>
        <v>11.445714285714285</v>
      </c>
      <c r="C50" s="55">
        <f t="shared" si="11"/>
        <v>117.22746979388772</v>
      </c>
      <c r="D50" s="55">
        <f t="shared" si="1"/>
        <v>117.20901208244493</v>
      </c>
      <c r="E50" s="55">
        <f t="shared" si="14"/>
        <v>118.22746979388772</v>
      </c>
      <c r="F50" s="55">
        <f t="shared" si="15"/>
        <v>117.62746979388773</v>
      </c>
      <c r="G50" s="75">
        <f t="shared" si="16"/>
        <v>0.6</v>
      </c>
      <c r="H50" s="56">
        <f t="shared" si="12"/>
        <v>1</v>
      </c>
      <c r="I50" s="75">
        <f t="shared" si="17"/>
        <v>0.75</v>
      </c>
      <c r="J50" s="64">
        <f t="shared" si="18"/>
        <v>117.99000000000007</v>
      </c>
      <c r="K50" s="56">
        <f t="shared" si="2"/>
        <v>117.85200000000006</v>
      </c>
      <c r="L50" s="56">
        <f t="shared" si="3"/>
        <v>0.36253020611233921</v>
      </c>
      <c r="M50" s="56">
        <f t="shared" si="4"/>
        <v>0.64298791755513207</v>
      </c>
      <c r="N50" s="52">
        <v>0.13800000000000001</v>
      </c>
      <c r="O50" s="110">
        <f t="shared" si="19"/>
        <v>0</v>
      </c>
      <c r="P50" s="56">
        <f t="shared" si="20"/>
        <v>0.7731450436801075</v>
      </c>
      <c r="Q50" s="110">
        <f t="shared" si="5"/>
        <v>8.9703217482054107E-2</v>
      </c>
      <c r="R50" s="56">
        <f t="shared" si="6"/>
        <v>0</v>
      </c>
      <c r="S50" s="112">
        <f t="shared" si="21"/>
        <v>8.9703217482054107E-2</v>
      </c>
      <c r="T50" s="72">
        <f t="shared" si="7"/>
        <v>1.6454664992031895</v>
      </c>
      <c r="U50" s="111">
        <f t="shared" si="8"/>
        <v>142.04285742440408</v>
      </c>
      <c r="V50" s="110">
        <f t="shared" si="9"/>
        <v>0.70920966595598145</v>
      </c>
      <c r="W50" s="56">
        <f t="shared" si="10"/>
        <v>0.85105159914717776</v>
      </c>
      <c r="X50" s="72">
        <f t="shared" si="22"/>
        <v>1.0045714285714284</v>
      </c>
    </row>
    <row r="51" spans="1:24" x14ac:dyDescent="0.35">
      <c r="A51" s="63">
        <f t="shared" si="13"/>
        <v>10</v>
      </c>
      <c r="B51" s="108">
        <f t="shared" si="0"/>
        <v>10.301142857142857</v>
      </c>
      <c r="C51" s="55">
        <f t="shared" si="11"/>
        <v>117.07656858564323</v>
      </c>
      <c r="D51" s="55">
        <f t="shared" si="1"/>
        <v>117.05811087420044</v>
      </c>
      <c r="E51" s="55">
        <f t="shared" si="14"/>
        <v>118.07656858564323</v>
      </c>
      <c r="F51" s="55">
        <f t="shared" si="15"/>
        <v>117.47656858564324</v>
      </c>
      <c r="G51" s="75">
        <f t="shared" si="16"/>
        <v>0.6</v>
      </c>
      <c r="H51" s="56">
        <f t="shared" si="12"/>
        <v>1</v>
      </c>
      <c r="I51" s="75">
        <f t="shared" si="17"/>
        <v>0.75</v>
      </c>
      <c r="J51" s="64">
        <f t="shared" si="18"/>
        <v>117.85200000000006</v>
      </c>
      <c r="K51" s="56">
        <f t="shared" si="2"/>
        <v>117.71400000000006</v>
      </c>
      <c r="L51" s="56">
        <f t="shared" si="3"/>
        <v>0.37543141435682514</v>
      </c>
      <c r="M51" s="56">
        <f t="shared" si="4"/>
        <v>0.655889125799618</v>
      </c>
      <c r="N51" s="52">
        <v>0.13800000000000001</v>
      </c>
      <c r="O51" s="110">
        <f t="shared" si="19"/>
        <v>0</v>
      </c>
      <c r="P51" s="56">
        <f t="shared" si="20"/>
        <v>0.76404558855681803</v>
      </c>
      <c r="Q51" s="110">
        <f t="shared" si="5"/>
        <v>9.3421306030622722E-2</v>
      </c>
      <c r="R51" s="56">
        <f t="shared" si="6"/>
        <v>0</v>
      </c>
      <c r="S51" s="112">
        <f t="shared" si="21"/>
        <v>9.3421306030622722E-2</v>
      </c>
      <c r="T51" s="72">
        <f t="shared" si="7"/>
        <v>1.6454664992031895</v>
      </c>
      <c r="U51" s="111">
        <f t="shared" si="8"/>
        <v>145.287441208774</v>
      </c>
      <c r="V51" s="110">
        <f t="shared" si="9"/>
        <v>0.72211087420046738</v>
      </c>
      <c r="W51" s="56">
        <f t="shared" si="10"/>
        <v>0.86653304904056083</v>
      </c>
      <c r="X51" s="72">
        <f t="shared" si="22"/>
        <v>1.0045714285714284</v>
      </c>
    </row>
    <row r="52" spans="1:24" x14ac:dyDescent="0.35">
      <c r="A52" s="63">
        <f t="shared" si="13"/>
        <v>9</v>
      </c>
      <c r="B52" s="108">
        <f t="shared" si="0"/>
        <v>9.1565714285714286</v>
      </c>
      <c r="C52" s="55">
        <f t="shared" si="11"/>
        <v>116.92566737739874</v>
      </c>
      <c r="D52" s="55">
        <f t="shared" si="1"/>
        <v>116.90720966595595</v>
      </c>
      <c r="E52" s="55">
        <f t="shared" si="14"/>
        <v>117.92566737739874</v>
      </c>
      <c r="F52" s="55">
        <f t="shared" si="15"/>
        <v>117.32566737739874</v>
      </c>
      <c r="G52" s="75">
        <f t="shared" si="16"/>
        <v>0.6</v>
      </c>
      <c r="H52" s="56">
        <f t="shared" si="12"/>
        <v>1</v>
      </c>
      <c r="I52" s="75">
        <f t="shared" si="17"/>
        <v>0.75</v>
      </c>
      <c r="J52" s="64">
        <f t="shared" si="18"/>
        <v>117.71400000000006</v>
      </c>
      <c r="K52" s="56">
        <f t="shared" si="2"/>
        <v>117.57600000000005</v>
      </c>
      <c r="L52" s="56">
        <f t="shared" si="3"/>
        <v>0.38833262260131107</v>
      </c>
      <c r="M52" s="56">
        <f t="shared" si="4"/>
        <v>0.66879033404410393</v>
      </c>
      <c r="N52" s="52">
        <v>0.13800000000000001</v>
      </c>
      <c r="O52" s="110">
        <f t="shared" si="19"/>
        <v>0</v>
      </c>
      <c r="P52" s="56">
        <f t="shared" si="20"/>
        <v>0.75530382769896764</v>
      </c>
      <c r="Q52" s="110">
        <f t="shared" si="5"/>
        <v>9.715345436012375E-2</v>
      </c>
      <c r="R52" s="56">
        <f t="shared" si="6"/>
        <v>0</v>
      </c>
      <c r="S52" s="112">
        <f t="shared" si="21"/>
        <v>9.715345436012375E-2</v>
      </c>
      <c r="T52" s="72">
        <f t="shared" si="7"/>
        <v>1.6454664992031895</v>
      </c>
      <c r="U52" s="111">
        <f t="shared" si="8"/>
        <v>148.43960645766489</v>
      </c>
      <c r="V52" s="110">
        <f t="shared" si="9"/>
        <v>0.73501208244495331</v>
      </c>
      <c r="W52" s="56">
        <f t="shared" si="10"/>
        <v>0.8820144989339439</v>
      </c>
      <c r="X52" s="72">
        <f t="shared" si="22"/>
        <v>1.0045714285714284</v>
      </c>
    </row>
    <row r="53" spans="1:24" x14ac:dyDescent="0.35">
      <c r="A53" s="63">
        <f t="shared" si="13"/>
        <v>8</v>
      </c>
      <c r="B53" s="108">
        <f t="shared" si="0"/>
        <v>8.0119999999999987</v>
      </c>
      <c r="C53" s="55">
        <f t="shared" si="11"/>
        <v>116.77476616915425</v>
      </c>
      <c r="D53" s="55">
        <f t="shared" si="1"/>
        <v>116.75630845771146</v>
      </c>
      <c r="E53" s="55">
        <f t="shared" si="14"/>
        <v>117.77476616915425</v>
      </c>
      <c r="F53" s="55">
        <f t="shared" si="15"/>
        <v>117.17476616915425</v>
      </c>
      <c r="G53" s="75">
        <f t="shared" si="16"/>
        <v>0.6</v>
      </c>
      <c r="H53" s="56">
        <f t="shared" si="12"/>
        <v>1</v>
      </c>
      <c r="I53" s="75">
        <f t="shared" si="17"/>
        <v>0.75</v>
      </c>
      <c r="J53" s="64">
        <f t="shared" si="18"/>
        <v>117.57600000000005</v>
      </c>
      <c r="K53" s="56">
        <f t="shared" si="2"/>
        <v>117.42900000000004</v>
      </c>
      <c r="L53" s="56">
        <f t="shared" si="3"/>
        <v>0.401233830845797</v>
      </c>
      <c r="M53" s="56">
        <f t="shared" si="4"/>
        <v>0.67269154228858952</v>
      </c>
      <c r="N53" s="52">
        <v>0.14699999999999999</v>
      </c>
      <c r="O53" s="110">
        <f t="shared" si="19"/>
        <v>0</v>
      </c>
      <c r="P53" s="56">
        <f t="shared" si="20"/>
        <v>0.76319220761464457</v>
      </c>
      <c r="Q53" s="110">
        <f t="shared" si="5"/>
        <v>0.10310055223786202</v>
      </c>
      <c r="R53" s="56">
        <f t="shared" si="6"/>
        <v>0</v>
      </c>
      <c r="S53" s="112">
        <f t="shared" si="21"/>
        <v>0.10310055223786202</v>
      </c>
      <c r="T53" s="72">
        <f t="shared" si="7"/>
        <v>1.6982755960090812</v>
      </c>
      <c r="U53" s="111">
        <f t="shared" si="8"/>
        <v>166.91362429362212</v>
      </c>
      <c r="V53" s="110">
        <f t="shared" si="9"/>
        <v>0.7389132906894389</v>
      </c>
      <c r="W53" s="56">
        <f t="shared" si="10"/>
        <v>0.88669594882732661</v>
      </c>
      <c r="X53" s="72">
        <f t="shared" si="22"/>
        <v>1.0045714285714284</v>
      </c>
    </row>
    <row r="54" spans="1:24" x14ac:dyDescent="0.35">
      <c r="A54" s="63">
        <f t="shared" si="13"/>
        <v>7</v>
      </c>
      <c r="B54" s="108">
        <f t="shared" si="0"/>
        <v>6.8674285714285697</v>
      </c>
      <c r="C54" s="55">
        <f t="shared" si="11"/>
        <v>116.62386496090976</v>
      </c>
      <c r="D54" s="55">
        <f t="shared" si="1"/>
        <v>116.60540724946696</v>
      </c>
      <c r="E54" s="55">
        <f t="shared" si="14"/>
        <v>117.62386496090976</v>
      </c>
      <c r="F54" s="55">
        <f t="shared" si="15"/>
        <v>117.02386496090976</v>
      </c>
      <c r="G54" s="75">
        <f t="shared" si="16"/>
        <v>0.6</v>
      </c>
      <c r="H54" s="56">
        <f t="shared" si="12"/>
        <v>1</v>
      </c>
      <c r="I54" s="75">
        <f t="shared" si="17"/>
        <v>0.75</v>
      </c>
      <c r="J54" s="64">
        <f t="shared" si="18"/>
        <v>117.42900000000004</v>
      </c>
      <c r="K54" s="56">
        <f t="shared" si="2"/>
        <v>117.28200000000004</v>
      </c>
      <c r="L54" s="56">
        <f t="shared" si="3"/>
        <v>0.40513503909028259</v>
      </c>
      <c r="M54" s="56">
        <f t="shared" si="4"/>
        <v>0.6765927505330751</v>
      </c>
      <c r="N54" s="52">
        <v>0.14699999999999999</v>
      </c>
      <c r="O54" s="110">
        <f t="shared" si="19"/>
        <v>0</v>
      </c>
      <c r="P54" s="56">
        <f t="shared" si="20"/>
        <v>0.76068486460493212</v>
      </c>
      <c r="Q54" s="110">
        <f t="shared" si="5"/>
        <v>0.10426420387595409</v>
      </c>
      <c r="R54" s="56">
        <f t="shared" si="6"/>
        <v>0</v>
      </c>
      <c r="S54" s="112">
        <f t="shared" si="21"/>
        <v>0.10426420387595409</v>
      </c>
      <c r="T54" s="72">
        <f t="shared" si="7"/>
        <v>1.6982755960090812</v>
      </c>
      <c r="U54" s="111">
        <f t="shared" si="8"/>
        <v>167.91099431331861</v>
      </c>
      <c r="V54" s="110">
        <f t="shared" si="9"/>
        <v>0.74281449893392448</v>
      </c>
      <c r="W54" s="56">
        <f t="shared" si="10"/>
        <v>0.89137739872070931</v>
      </c>
      <c r="X54" s="72">
        <f t="shared" si="22"/>
        <v>1.0045714285714284</v>
      </c>
    </row>
    <row r="55" spans="1:24" x14ac:dyDescent="0.35">
      <c r="A55" s="63">
        <f t="shared" si="13"/>
        <v>6</v>
      </c>
      <c r="B55" s="108">
        <f t="shared" si="0"/>
        <v>5.7228571428571415</v>
      </c>
      <c r="C55" s="55">
        <f t="shared" si="11"/>
        <v>116.47296375266527</v>
      </c>
      <c r="D55" s="55">
        <f t="shared" si="1"/>
        <v>116.45450604122247</v>
      </c>
      <c r="E55" s="55">
        <f t="shared" si="14"/>
        <v>117.47296375266527</v>
      </c>
      <c r="F55" s="55">
        <f t="shared" si="15"/>
        <v>116.87296375266527</v>
      </c>
      <c r="G55" s="75">
        <f t="shared" si="16"/>
        <v>0.6</v>
      </c>
      <c r="H55" s="56">
        <f t="shared" si="12"/>
        <v>1</v>
      </c>
      <c r="I55" s="75">
        <f t="shared" si="17"/>
        <v>0.75</v>
      </c>
      <c r="J55" s="64">
        <f t="shared" si="18"/>
        <v>117.28200000000004</v>
      </c>
      <c r="K55" s="56">
        <f t="shared" si="2"/>
        <v>117.13500000000003</v>
      </c>
      <c r="L55" s="56">
        <f t="shared" si="3"/>
        <v>0.40903624733476818</v>
      </c>
      <c r="M55" s="56">
        <f t="shared" si="4"/>
        <v>0.68049395877756069</v>
      </c>
      <c r="N55" s="52">
        <v>0.14699999999999999</v>
      </c>
      <c r="O55" s="110">
        <f t="shared" si="19"/>
        <v>0</v>
      </c>
      <c r="P55" s="56">
        <f t="shared" si="20"/>
        <v>0.75820564920911693</v>
      </c>
      <c r="Q55" s="110">
        <f t="shared" si="5"/>
        <v>0.10542908964613075</v>
      </c>
      <c r="R55" s="56">
        <f t="shared" si="6"/>
        <v>0</v>
      </c>
      <c r="S55" s="112">
        <f t="shared" si="21"/>
        <v>0.10542908964613075</v>
      </c>
      <c r="T55" s="72">
        <f t="shared" si="7"/>
        <v>1.6982755960090812</v>
      </c>
      <c r="U55" s="111">
        <f t="shared" si="8"/>
        <v>168.89991994404232</v>
      </c>
      <c r="V55" s="110">
        <f t="shared" si="9"/>
        <v>0.74671570717841007</v>
      </c>
      <c r="W55" s="56">
        <f t="shared" si="10"/>
        <v>0.89605884861409202</v>
      </c>
      <c r="X55" s="72">
        <f t="shared" si="22"/>
        <v>1.0045714285714284</v>
      </c>
    </row>
    <row r="56" spans="1:24" x14ac:dyDescent="0.35">
      <c r="A56" s="63">
        <f t="shared" si="13"/>
        <v>5</v>
      </c>
      <c r="B56" s="108">
        <f t="shared" si="0"/>
        <v>4.5782857142857134</v>
      </c>
      <c r="C56" s="55">
        <f t="shared" si="11"/>
        <v>116.32206254442077</v>
      </c>
      <c r="D56" s="55">
        <f t="shared" si="1"/>
        <v>116.30360483297798</v>
      </c>
      <c r="E56" s="55">
        <f t="shared" si="14"/>
        <v>117.32206254442077</v>
      </c>
      <c r="F56" s="55">
        <f t="shared" si="15"/>
        <v>116.72206254442078</v>
      </c>
      <c r="G56" s="75">
        <f t="shared" si="16"/>
        <v>0.6</v>
      </c>
      <c r="H56" s="56">
        <f t="shared" si="12"/>
        <v>1</v>
      </c>
      <c r="I56" s="75">
        <f t="shared" si="17"/>
        <v>0.75</v>
      </c>
      <c r="J56" s="64">
        <f t="shared" si="18"/>
        <v>117.13500000000003</v>
      </c>
      <c r="K56" s="56">
        <f t="shared" si="2"/>
        <v>116.98800000000003</v>
      </c>
      <c r="L56" s="56">
        <f t="shared" si="3"/>
        <v>0.41293745557925376</v>
      </c>
      <c r="M56" s="56">
        <f t="shared" si="4"/>
        <v>0.68439516702204628</v>
      </c>
      <c r="N56" s="52">
        <v>0.14699999999999999</v>
      </c>
      <c r="O56" s="110">
        <f t="shared" si="19"/>
        <v>0</v>
      </c>
      <c r="P56" s="56">
        <f t="shared" si="20"/>
        <v>0.75575406082660601</v>
      </c>
      <c r="Q56" s="110">
        <f t="shared" si="5"/>
        <v>0.1065952010693647</v>
      </c>
      <c r="R56" s="56">
        <f t="shared" si="6"/>
        <v>0</v>
      </c>
      <c r="S56" s="112">
        <f t="shared" si="21"/>
        <v>0.1065952010693647</v>
      </c>
      <c r="T56" s="72">
        <f t="shared" si="7"/>
        <v>1.6982755960090812</v>
      </c>
      <c r="U56" s="111">
        <f t="shared" si="8"/>
        <v>169.88051933776555</v>
      </c>
      <c r="V56" s="110">
        <f t="shared" si="9"/>
        <v>0.75061691542289566</v>
      </c>
      <c r="W56" s="56">
        <f t="shared" si="10"/>
        <v>0.90074029850747472</v>
      </c>
      <c r="X56" s="72">
        <f t="shared" si="22"/>
        <v>1.0045714285714284</v>
      </c>
    </row>
    <row r="57" spans="1:24" x14ac:dyDescent="0.35">
      <c r="A57" s="63">
        <f t="shared" si="13"/>
        <v>4</v>
      </c>
      <c r="B57" s="108">
        <f t="shared" ref="B57:B88" si="23">IF(A57=1,0,B58+X57+$F$19)</f>
        <v>3.4337142857142857</v>
      </c>
      <c r="C57" s="55">
        <f t="shared" si="11"/>
        <v>116.17116133617628</v>
      </c>
      <c r="D57" s="55">
        <f t="shared" ref="D57:D88" si="24">C57-$F$19*$L$10</f>
        <v>116.15270362473349</v>
      </c>
      <c r="E57" s="55">
        <f t="shared" si="14"/>
        <v>117.17116133617628</v>
      </c>
      <c r="F57" s="55">
        <f t="shared" si="15"/>
        <v>116.57116133617629</v>
      </c>
      <c r="G57" s="75">
        <f t="shared" si="16"/>
        <v>0.6</v>
      </c>
      <c r="H57" s="56">
        <f t="shared" si="12"/>
        <v>1</v>
      </c>
      <c r="I57" s="75">
        <f t="shared" si="17"/>
        <v>0.75</v>
      </c>
      <c r="J57" s="64">
        <f t="shared" si="18"/>
        <v>116.98800000000003</v>
      </c>
      <c r="K57" s="56">
        <f t="shared" ref="K57:K88" si="25">IF(A57=1,$F$13,J58)</f>
        <v>116.84100000000002</v>
      </c>
      <c r="L57" s="56">
        <f t="shared" ref="L57:L88" si="26">J57-F57</f>
        <v>0.41683866382373935</v>
      </c>
      <c r="M57" s="56">
        <f t="shared" ref="M57:M88" si="27">K57-D57</f>
        <v>0.68829637526653187</v>
      </c>
      <c r="N57" s="52">
        <v>0.14699999999999999</v>
      </c>
      <c r="O57" s="110">
        <f t="shared" si="19"/>
        <v>0</v>
      </c>
      <c r="P57" s="56">
        <f t="shared" si="20"/>
        <v>0.75332960967905771</v>
      </c>
      <c r="Q57" s="110">
        <f t="shared" ref="Q57:Q88" si="28">IF(J57&gt;F57,SQRT(2*9.81)*L57^1.5*$F$17*P57*G57*2/3,0)</f>
        <v>0.10776252974091195</v>
      </c>
      <c r="R57" s="56">
        <f t="shared" ref="R57:R88" si="29">IF(J57&gt;E57,SQRT(2*9.81)*SQRT((J57-E57)^3)*0.6*($F$20-$F$17)*H57*2/3,0)</f>
        <v>0</v>
      </c>
      <c r="S57" s="112">
        <f t="shared" si="21"/>
        <v>0.10776252974091195</v>
      </c>
      <c r="T57" s="72">
        <f t="shared" si="7"/>
        <v>1.6982755960090812</v>
      </c>
      <c r="U57" s="111">
        <f t="shared" ref="U57:U88" si="30">IF(A57=1," ",9810*N57*S57/(W57*X57))</f>
        <v>170.85290832063185</v>
      </c>
      <c r="V57" s="110">
        <f t="shared" ref="V57:V88" si="31">IF(A57=1," ",((K57-D57)+(J58-C58))/2)</f>
        <v>0.75451812366738125</v>
      </c>
      <c r="W57" s="56">
        <f t="shared" ref="W57:W88" si="32">IF(A57=1," ",V57*$F$20)</f>
        <v>0.90542174840085743</v>
      </c>
      <c r="X57" s="72">
        <f t="shared" si="22"/>
        <v>1.0045714285714284</v>
      </c>
    </row>
    <row r="58" spans="1:24" x14ac:dyDescent="0.35">
      <c r="A58" s="63">
        <f t="shared" si="13"/>
        <v>3</v>
      </c>
      <c r="B58" s="108">
        <f t="shared" si="23"/>
        <v>2.2891428571428571</v>
      </c>
      <c r="C58" s="55">
        <f t="shared" ref="C58:C89" si="33">C57-((X57+$F$19)*$L$10)</f>
        <v>116.02026012793179</v>
      </c>
      <c r="D58" s="55">
        <f t="shared" si="24"/>
        <v>116.001802416489</v>
      </c>
      <c r="E58" s="55">
        <f t="shared" si="14"/>
        <v>117.02026012793179</v>
      </c>
      <c r="F58" s="55">
        <f t="shared" si="15"/>
        <v>116.4202601279318</v>
      </c>
      <c r="G58" s="75">
        <f t="shared" si="16"/>
        <v>0.6</v>
      </c>
      <c r="H58" s="56">
        <f t="shared" si="12"/>
        <v>1</v>
      </c>
      <c r="I58" s="75">
        <f t="shared" si="17"/>
        <v>0.75</v>
      </c>
      <c r="J58" s="64">
        <f t="shared" si="18"/>
        <v>116.84100000000002</v>
      </c>
      <c r="K58" s="56">
        <f t="shared" si="25"/>
        <v>116.69400000000002</v>
      </c>
      <c r="L58" s="56">
        <f t="shared" si="26"/>
        <v>0.42073987206822494</v>
      </c>
      <c r="M58" s="56">
        <f t="shared" si="27"/>
        <v>0.69219758351101746</v>
      </c>
      <c r="N58" s="52">
        <v>0.14699999999999999</v>
      </c>
      <c r="O58" s="110">
        <f t="shared" si="19"/>
        <v>0</v>
      </c>
      <c r="P58" s="56">
        <f t="shared" si="20"/>
        <v>0.75093181661694386</v>
      </c>
      <c r="Q58" s="110">
        <f t="shared" si="28"/>
        <v>0.10893106733215979</v>
      </c>
      <c r="R58" s="56">
        <f t="shared" si="29"/>
        <v>0</v>
      </c>
      <c r="S58" s="112">
        <f t="shared" si="21"/>
        <v>0.10893106733215979</v>
      </c>
      <c r="T58" s="72">
        <f t="shared" si="7"/>
        <v>1.6982755960090812</v>
      </c>
      <c r="U58" s="111">
        <f t="shared" si="30"/>
        <v>171.81720045568963</v>
      </c>
      <c r="V58" s="110">
        <f t="shared" si="31"/>
        <v>0.75841933191186683</v>
      </c>
      <c r="W58" s="56">
        <f t="shared" si="32"/>
        <v>0.91010319829424013</v>
      </c>
      <c r="X58" s="72">
        <f t="shared" si="22"/>
        <v>1.0045714285714284</v>
      </c>
    </row>
    <row r="59" spans="1:24" x14ac:dyDescent="0.35">
      <c r="A59" s="63">
        <f t="shared" si="13"/>
        <v>2</v>
      </c>
      <c r="B59" s="108">
        <f t="shared" si="23"/>
        <v>1.1445714285714286</v>
      </c>
      <c r="C59" s="55">
        <f t="shared" si="33"/>
        <v>115.8693589196873</v>
      </c>
      <c r="D59" s="55">
        <f t="shared" si="24"/>
        <v>115.85090120824451</v>
      </c>
      <c r="E59" s="55">
        <f t="shared" si="14"/>
        <v>116.8693589196873</v>
      </c>
      <c r="F59" s="55">
        <f t="shared" si="15"/>
        <v>116.26935891968731</v>
      </c>
      <c r="G59" s="75">
        <f t="shared" si="16"/>
        <v>0.6</v>
      </c>
      <c r="H59" s="56">
        <f t="shared" si="12"/>
        <v>1</v>
      </c>
      <c r="I59" s="75">
        <f t="shared" si="17"/>
        <v>0.75</v>
      </c>
      <c r="J59" s="64">
        <f t="shared" si="18"/>
        <v>116.69400000000002</v>
      </c>
      <c r="K59" s="56">
        <f t="shared" si="25"/>
        <v>116.54700000000001</v>
      </c>
      <c r="L59" s="56">
        <f t="shared" si="26"/>
        <v>0.42464108031271053</v>
      </c>
      <c r="M59" s="56">
        <f t="shared" si="27"/>
        <v>0.69609879175550304</v>
      </c>
      <c r="N59" s="52">
        <v>0.14699999999999999</v>
      </c>
      <c r="O59" s="110">
        <f t="shared" si="19"/>
        <v>0</v>
      </c>
      <c r="P59" s="56">
        <f t="shared" si="20"/>
        <v>0.74856021292087027</v>
      </c>
      <c r="Q59" s="110">
        <f t="shared" si="28"/>
        <v>0.11010080559217027</v>
      </c>
      <c r="R59" s="56">
        <f t="shared" si="29"/>
        <v>0</v>
      </c>
      <c r="S59" s="112">
        <f t="shared" si="21"/>
        <v>0.11010080559217027</v>
      </c>
      <c r="T59" s="72">
        <f t="shared" si="7"/>
        <v>1.6982755960090812</v>
      </c>
      <c r="U59" s="111">
        <f t="shared" si="30"/>
        <v>172.77350710322173</v>
      </c>
      <c r="V59" s="110">
        <f t="shared" si="31"/>
        <v>0.76232054015635242</v>
      </c>
      <c r="W59" s="56">
        <f t="shared" si="32"/>
        <v>0.91478464818762284</v>
      </c>
      <c r="X59" s="72">
        <f t="shared" si="22"/>
        <v>1.0045714285714284</v>
      </c>
    </row>
    <row r="60" spans="1:24" x14ac:dyDescent="0.35">
      <c r="A60" s="63">
        <f t="shared" si="13"/>
        <v>1</v>
      </c>
      <c r="B60" s="108">
        <f t="shared" si="23"/>
        <v>0</v>
      </c>
      <c r="C60" s="55">
        <f t="shared" si="33"/>
        <v>115.71845771144281</v>
      </c>
      <c r="D60" s="55">
        <f t="shared" si="24"/>
        <v>115.70000000000002</v>
      </c>
      <c r="E60" s="55">
        <f t="shared" si="14"/>
        <v>116.71845771144281</v>
      </c>
      <c r="F60" s="55">
        <f t="shared" si="15"/>
        <v>116.11845771144282</v>
      </c>
      <c r="G60" s="75">
        <f t="shared" si="16"/>
        <v>0.6</v>
      </c>
      <c r="H60" s="56">
        <f t="shared" si="12"/>
        <v>1</v>
      </c>
      <c r="I60" s="75">
        <f t="shared" si="17"/>
        <v>0.75</v>
      </c>
      <c r="J60" s="64">
        <f t="shared" si="18"/>
        <v>116.54700000000001</v>
      </c>
      <c r="K60" s="56">
        <f t="shared" si="25"/>
        <v>116.4</v>
      </c>
      <c r="L60" s="56">
        <f t="shared" si="26"/>
        <v>0.42854228855719612</v>
      </c>
      <c r="M60" s="56">
        <f t="shared" si="27"/>
        <v>0.69999999999998863</v>
      </c>
      <c r="N60" s="52">
        <v>0.14699999999999999</v>
      </c>
      <c r="O60" s="110">
        <f t="shared" si="19"/>
        <v>0</v>
      </c>
      <c r="P60" s="56">
        <f t="shared" si="20"/>
        <v>0.74621434009901455</v>
      </c>
      <c r="Q60" s="110">
        <f t="shared" si="28"/>
        <v>0.11127173634895073</v>
      </c>
      <c r="R60" s="56">
        <f t="shared" si="29"/>
        <v>0</v>
      </c>
      <c r="S60" s="112">
        <f t="shared" si="21"/>
        <v>0.11127173634895073</v>
      </c>
      <c r="T60" s="72">
        <f t="shared" si="7"/>
        <v>1.6982755960090812</v>
      </c>
      <c r="U60" s="111" t="str">
        <f t="shared" si="30"/>
        <v xml:space="preserve"> </v>
      </c>
      <c r="V60" s="110" t="str">
        <f t="shared" si="31"/>
        <v xml:space="preserve"> </v>
      </c>
      <c r="W60" s="56" t="str">
        <f t="shared" si="32"/>
        <v xml:space="preserve"> </v>
      </c>
      <c r="X60" s="72" t="str">
        <f t="shared" si="22"/>
        <v xml:space="preserve"> </v>
      </c>
    </row>
    <row r="61" spans="1:24" x14ac:dyDescent="0.35">
      <c r="A61" s="63">
        <f t="shared" si="13"/>
        <v>0</v>
      </c>
      <c r="B61" s="108">
        <f t="shared" si="23"/>
        <v>70.963428571428622</v>
      </c>
      <c r="C61" s="55" t="e">
        <f t="shared" si="33"/>
        <v>#VALUE!</v>
      </c>
      <c r="D61" s="55" t="e">
        <f t="shared" si="24"/>
        <v>#VALUE!</v>
      </c>
      <c r="E61" s="55" t="e">
        <f t="shared" si="14"/>
        <v>#VALUE!</v>
      </c>
      <c r="F61" s="55" t="e">
        <f t="shared" si="15"/>
        <v>#VALUE!</v>
      </c>
      <c r="G61" s="75">
        <f t="shared" si="16"/>
        <v>0.6</v>
      </c>
      <c r="H61" s="56" t="e">
        <f t="shared" ref="H61:H89" si="34">IF(K61&gt;E61,(1-((K61-E61)/(J61-E61+0.000001))^F56)^0.5,1)</f>
        <v>#VALUE!</v>
      </c>
      <c r="I61" s="75">
        <f t="shared" si="17"/>
        <v>0.75</v>
      </c>
      <c r="J61" s="64">
        <f t="shared" si="18"/>
        <v>4072.1599999999949</v>
      </c>
      <c r="K61" s="56">
        <f t="shared" si="25"/>
        <v>4036.979999999995</v>
      </c>
      <c r="L61" s="56" t="e">
        <f t="shared" si="26"/>
        <v>#VALUE!</v>
      </c>
      <c r="M61" s="56" t="e">
        <f t="shared" si="27"/>
        <v>#VALUE!</v>
      </c>
      <c r="N61" s="52">
        <v>35.18</v>
      </c>
      <c r="O61" s="110">
        <f t="shared" si="19"/>
        <v>0</v>
      </c>
      <c r="P61" s="56" t="e">
        <f t="shared" si="20"/>
        <v>#VALUE!</v>
      </c>
      <c r="Q61" s="110" t="e">
        <f t="shared" si="28"/>
        <v>#VALUE!</v>
      </c>
      <c r="R61" s="56" t="e">
        <f t="shared" si="29"/>
        <v>#VALUE!</v>
      </c>
      <c r="S61" s="112" t="e">
        <f t="shared" si="21"/>
        <v>#VALUE!</v>
      </c>
      <c r="T61" s="72">
        <f t="shared" si="7"/>
        <v>26.27225913392299</v>
      </c>
      <c r="U61" s="111" t="e">
        <f t="shared" si="30"/>
        <v>#VALUE!</v>
      </c>
      <c r="V61" s="110" t="e">
        <f t="shared" si="31"/>
        <v>#VALUE!</v>
      </c>
      <c r="W61" s="56" t="e">
        <f t="shared" si="32"/>
        <v>#VALUE!</v>
      </c>
      <c r="X61" s="72">
        <f t="shared" si="22"/>
        <v>1.0045714285714284</v>
      </c>
    </row>
    <row r="62" spans="1:24" x14ac:dyDescent="0.35">
      <c r="A62" s="63">
        <f t="shared" si="13"/>
        <v>-1</v>
      </c>
      <c r="B62" s="108">
        <f t="shared" si="23"/>
        <v>69.818857142857198</v>
      </c>
      <c r="C62" s="55" t="e">
        <f t="shared" si="33"/>
        <v>#VALUE!</v>
      </c>
      <c r="D62" s="55" t="e">
        <f t="shared" si="24"/>
        <v>#VALUE!</v>
      </c>
      <c r="E62" s="55" t="e">
        <f t="shared" si="14"/>
        <v>#VALUE!</v>
      </c>
      <c r="F62" s="55" t="e">
        <f t="shared" si="15"/>
        <v>#VALUE!</v>
      </c>
      <c r="G62" s="75">
        <f t="shared" si="16"/>
        <v>0.6</v>
      </c>
      <c r="H62" s="56" t="e">
        <f t="shared" si="34"/>
        <v>#VALUE!</v>
      </c>
      <c r="I62" s="75">
        <f t="shared" si="17"/>
        <v>0.75</v>
      </c>
      <c r="J62" s="64">
        <f t="shared" si="18"/>
        <v>4036.979999999995</v>
      </c>
      <c r="K62" s="56">
        <f t="shared" si="25"/>
        <v>4000.7999999999952</v>
      </c>
      <c r="L62" s="56" t="e">
        <f t="shared" si="26"/>
        <v>#VALUE!</v>
      </c>
      <c r="M62" s="56" t="e">
        <f t="shared" si="27"/>
        <v>#VALUE!</v>
      </c>
      <c r="N62" s="52">
        <v>36.18</v>
      </c>
      <c r="O62" s="110">
        <f t="shared" si="19"/>
        <v>0</v>
      </c>
      <c r="P62" s="56" t="e">
        <f t="shared" si="20"/>
        <v>#VALUE!</v>
      </c>
      <c r="Q62" s="110" t="e">
        <f t="shared" si="28"/>
        <v>#VALUE!</v>
      </c>
      <c r="R62" s="56" t="e">
        <f t="shared" si="29"/>
        <v>#VALUE!</v>
      </c>
      <c r="S62" s="112" t="e">
        <f t="shared" si="21"/>
        <v>#VALUE!</v>
      </c>
      <c r="T62" s="72">
        <f t="shared" si="7"/>
        <v>26.643040367045202</v>
      </c>
      <c r="U62" s="111" t="e">
        <f t="shared" si="30"/>
        <v>#VALUE!</v>
      </c>
      <c r="V62" s="110" t="e">
        <f t="shared" si="31"/>
        <v>#VALUE!</v>
      </c>
      <c r="W62" s="56" t="e">
        <f t="shared" si="32"/>
        <v>#VALUE!</v>
      </c>
      <c r="X62" s="72">
        <f t="shared" si="22"/>
        <v>1.0045714285714284</v>
      </c>
    </row>
    <row r="63" spans="1:24" x14ac:dyDescent="0.35">
      <c r="A63" s="63">
        <f t="shared" si="13"/>
        <v>-2</v>
      </c>
      <c r="B63" s="108">
        <f t="shared" si="23"/>
        <v>68.674285714285773</v>
      </c>
      <c r="C63" s="55" t="e">
        <f t="shared" si="33"/>
        <v>#VALUE!</v>
      </c>
      <c r="D63" s="55" t="e">
        <f t="shared" si="24"/>
        <v>#VALUE!</v>
      </c>
      <c r="E63" s="55" t="e">
        <f t="shared" si="14"/>
        <v>#VALUE!</v>
      </c>
      <c r="F63" s="55" t="e">
        <f t="shared" si="15"/>
        <v>#VALUE!</v>
      </c>
      <c r="G63" s="75">
        <f t="shared" si="16"/>
        <v>0.6</v>
      </c>
      <c r="H63" s="56" t="e">
        <f t="shared" si="34"/>
        <v>#VALUE!</v>
      </c>
      <c r="I63" s="75">
        <f t="shared" si="17"/>
        <v>0.75</v>
      </c>
      <c r="J63" s="64">
        <f t="shared" si="18"/>
        <v>4000.7999999999952</v>
      </c>
      <c r="K63" s="56">
        <f t="shared" si="25"/>
        <v>3963.6199999999953</v>
      </c>
      <c r="L63" s="56" t="e">
        <f t="shared" si="26"/>
        <v>#VALUE!</v>
      </c>
      <c r="M63" s="56" t="e">
        <f t="shared" si="27"/>
        <v>#VALUE!</v>
      </c>
      <c r="N63" s="52">
        <v>37.18</v>
      </c>
      <c r="O63" s="110">
        <f t="shared" si="19"/>
        <v>0</v>
      </c>
      <c r="P63" s="56" t="e">
        <f t="shared" si="20"/>
        <v>#VALUE!</v>
      </c>
      <c r="Q63" s="110" t="e">
        <f t="shared" si="28"/>
        <v>#VALUE!</v>
      </c>
      <c r="R63" s="56" t="e">
        <f t="shared" si="29"/>
        <v>#VALUE!</v>
      </c>
      <c r="S63" s="112" t="e">
        <f t="shared" si="21"/>
        <v>#VALUE!</v>
      </c>
      <c r="T63" s="72">
        <f t="shared" si="7"/>
        <v>27.008731921362028</v>
      </c>
      <c r="U63" s="111" t="e">
        <f t="shared" si="30"/>
        <v>#VALUE!</v>
      </c>
      <c r="V63" s="110" t="e">
        <f t="shared" si="31"/>
        <v>#VALUE!</v>
      </c>
      <c r="W63" s="56" t="e">
        <f t="shared" si="32"/>
        <v>#VALUE!</v>
      </c>
      <c r="X63" s="72">
        <f t="shared" si="22"/>
        <v>1.0045714285714284</v>
      </c>
    </row>
    <row r="64" spans="1:24" x14ac:dyDescent="0.35">
      <c r="A64" s="63">
        <f t="shared" si="13"/>
        <v>-3</v>
      </c>
      <c r="B64" s="108">
        <f t="shared" si="23"/>
        <v>67.529714285714348</v>
      </c>
      <c r="C64" s="55" t="e">
        <f t="shared" si="33"/>
        <v>#VALUE!</v>
      </c>
      <c r="D64" s="55" t="e">
        <f t="shared" si="24"/>
        <v>#VALUE!</v>
      </c>
      <c r="E64" s="55" t="e">
        <f t="shared" si="14"/>
        <v>#VALUE!</v>
      </c>
      <c r="F64" s="55" t="e">
        <f t="shared" si="15"/>
        <v>#VALUE!</v>
      </c>
      <c r="G64" s="75">
        <f t="shared" si="16"/>
        <v>0.6</v>
      </c>
      <c r="H64" s="56" t="e">
        <f t="shared" si="34"/>
        <v>#VALUE!</v>
      </c>
      <c r="I64" s="75">
        <f t="shared" si="17"/>
        <v>0.75</v>
      </c>
      <c r="J64" s="64">
        <f t="shared" si="18"/>
        <v>3963.6199999999953</v>
      </c>
      <c r="K64" s="56">
        <f t="shared" si="25"/>
        <v>3925.4399999999955</v>
      </c>
      <c r="L64" s="56" t="e">
        <f t="shared" si="26"/>
        <v>#VALUE!</v>
      </c>
      <c r="M64" s="56" t="e">
        <f t="shared" si="27"/>
        <v>#VALUE!</v>
      </c>
      <c r="N64" s="52">
        <v>38.18</v>
      </c>
      <c r="O64" s="110">
        <f t="shared" si="19"/>
        <v>0</v>
      </c>
      <c r="P64" s="56" t="e">
        <f t="shared" si="20"/>
        <v>#VALUE!</v>
      </c>
      <c r="Q64" s="110" t="e">
        <f t="shared" si="28"/>
        <v>#VALUE!</v>
      </c>
      <c r="R64" s="56" t="e">
        <f t="shared" si="29"/>
        <v>#VALUE!</v>
      </c>
      <c r="S64" s="112" t="e">
        <f t="shared" si="21"/>
        <v>#VALUE!</v>
      </c>
      <c r="T64" s="72">
        <f t="shared" si="7"/>
        <v>27.369537811223633</v>
      </c>
      <c r="U64" s="111" t="e">
        <f t="shared" si="30"/>
        <v>#VALUE!</v>
      </c>
      <c r="V64" s="110" t="e">
        <f t="shared" si="31"/>
        <v>#VALUE!</v>
      </c>
      <c r="W64" s="56" t="e">
        <f t="shared" si="32"/>
        <v>#VALUE!</v>
      </c>
      <c r="X64" s="72">
        <f t="shared" si="22"/>
        <v>1.0045714285714284</v>
      </c>
    </row>
    <row r="65" spans="1:24" x14ac:dyDescent="0.35">
      <c r="A65" s="63">
        <f t="shared" si="13"/>
        <v>-4</v>
      </c>
      <c r="B65" s="108">
        <f t="shared" si="23"/>
        <v>66.385142857142924</v>
      </c>
      <c r="C65" s="55" t="e">
        <f t="shared" si="33"/>
        <v>#VALUE!</v>
      </c>
      <c r="D65" s="55" t="e">
        <f t="shared" si="24"/>
        <v>#VALUE!</v>
      </c>
      <c r="E65" s="55" t="e">
        <f t="shared" si="14"/>
        <v>#VALUE!</v>
      </c>
      <c r="F65" s="55" t="e">
        <f t="shared" si="15"/>
        <v>#VALUE!</v>
      </c>
      <c r="G65" s="75">
        <f t="shared" si="16"/>
        <v>0.6</v>
      </c>
      <c r="H65" s="56" t="e">
        <f t="shared" si="34"/>
        <v>#VALUE!</v>
      </c>
      <c r="I65" s="75">
        <f t="shared" si="17"/>
        <v>0.75</v>
      </c>
      <c r="J65" s="64">
        <f t="shared" si="18"/>
        <v>3925.4399999999955</v>
      </c>
      <c r="K65" s="56">
        <f t="shared" si="25"/>
        <v>3886.2599999999957</v>
      </c>
      <c r="L65" s="56" t="e">
        <f t="shared" si="26"/>
        <v>#VALUE!</v>
      </c>
      <c r="M65" s="56" t="e">
        <f t="shared" si="27"/>
        <v>#VALUE!</v>
      </c>
      <c r="N65" s="52">
        <v>39.18</v>
      </c>
      <c r="O65" s="110">
        <f t="shared" si="19"/>
        <v>0</v>
      </c>
      <c r="P65" s="56" t="e">
        <f t="shared" si="20"/>
        <v>#VALUE!</v>
      </c>
      <c r="Q65" s="110" t="e">
        <f t="shared" si="28"/>
        <v>#VALUE!</v>
      </c>
      <c r="R65" s="56" t="e">
        <f t="shared" si="29"/>
        <v>#VALUE!</v>
      </c>
      <c r="S65" s="112" t="e">
        <f t="shared" si="21"/>
        <v>#VALUE!</v>
      </c>
      <c r="T65" s="72">
        <f t="shared" si="7"/>
        <v>27.725648775096321</v>
      </c>
      <c r="U65" s="111" t="e">
        <f t="shared" si="30"/>
        <v>#VALUE!</v>
      </c>
      <c r="V65" s="110" t="e">
        <f t="shared" si="31"/>
        <v>#VALUE!</v>
      </c>
      <c r="W65" s="56" t="e">
        <f t="shared" si="32"/>
        <v>#VALUE!</v>
      </c>
      <c r="X65" s="72">
        <f t="shared" si="22"/>
        <v>1.0045714285714284</v>
      </c>
    </row>
    <row r="66" spans="1:24" x14ac:dyDescent="0.35">
      <c r="A66" s="63">
        <f t="shared" si="13"/>
        <v>-5</v>
      </c>
      <c r="B66" s="108">
        <f t="shared" si="23"/>
        <v>65.240571428571499</v>
      </c>
      <c r="C66" s="55" t="e">
        <f t="shared" si="33"/>
        <v>#VALUE!</v>
      </c>
      <c r="D66" s="55" t="e">
        <f t="shared" si="24"/>
        <v>#VALUE!</v>
      </c>
      <c r="E66" s="55" t="e">
        <f t="shared" si="14"/>
        <v>#VALUE!</v>
      </c>
      <c r="F66" s="55" t="e">
        <f t="shared" si="15"/>
        <v>#VALUE!</v>
      </c>
      <c r="G66" s="75">
        <f t="shared" si="16"/>
        <v>0.6</v>
      </c>
      <c r="H66" s="56" t="e">
        <f t="shared" si="34"/>
        <v>#VALUE!</v>
      </c>
      <c r="I66" s="75">
        <f t="shared" si="17"/>
        <v>0.75</v>
      </c>
      <c r="J66" s="64">
        <f t="shared" si="18"/>
        <v>3886.2599999999957</v>
      </c>
      <c r="K66" s="56">
        <f t="shared" si="25"/>
        <v>3846.0799999999958</v>
      </c>
      <c r="L66" s="56" t="e">
        <f t="shared" si="26"/>
        <v>#VALUE!</v>
      </c>
      <c r="M66" s="56" t="e">
        <f t="shared" si="27"/>
        <v>#VALUE!</v>
      </c>
      <c r="N66" s="52">
        <v>40.18</v>
      </c>
      <c r="O66" s="110">
        <f t="shared" si="19"/>
        <v>0</v>
      </c>
      <c r="P66" s="56" t="e">
        <f t="shared" si="20"/>
        <v>#VALUE!</v>
      </c>
      <c r="Q66" s="110" t="e">
        <f t="shared" si="28"/>
        <v>#VALUE!</v>
      </c>
      <c r="R66" s="56" t="e">
        <f t="shared" si="29"/>
        <v>#VALUE!</v>
      </c>
      <c r="S66" s="112" t="e">
        <f t="shared" si="21"/>
        <v>#VALUE!</v>
      </c>
      <c r="T66" s="72">
        <f t="shared" si="7"/>
        <v>28.077243454441891</v>
      </c>
      <c r="U66" s="111" t="e">
        <f t="shared" si="30"/>
        <v>#VALUE!</v>
      </c>
      <c r="V66" s="110" t="e">
        <f t="shared" si="31"/>
        <v>#VALUE!</v>
      </c>
      <c r="W66" s="56" t="e">
        <f t="shared" si="32"/>
        <v>#VALUE!</v>
      </c>
      <c r="X66" s="72">
        <f t="shared" si="22"/>
        <v>1.0045714285714284</v>
      </c>
    </row>
    <row r="67" spans="1:24" x14ac:dyDescent="0.35">
      <c r="A67" s="63">
        <f t="shared" si="13"/>
        <v>-6</v>
      </c>
      <c r="B67" s="108">
        <f t="shared" si="23"/>
        <v>64.096000000000075</v>
      </c>
      <c r="C67" s="55" t="e">
        <f t="shared" si="33"/>
        <v>#VALUE!</v>
      </c>
      <c r="D67" s="55" t="e">
        <f t="shared" si="24"/>
        <v>#VALUE!</v>
      </c>
      <c r="E67" s="55" t="e">
        <f t="shared" si="14"/>
        <v>#VALUE!</v>
      </c>
      <c r="F67" s="55" t="e">
        <f t="shared" si="15"/>
        <v>#VALUE!</v>
      </c>
      <c r="G67" s="75">
        <f t="shared" si="16"/>
        <v>0.6</v>
      </c>
      <c r="H67" s="56" t="e">
        <f t="shared" si="34"/>
        <v>#VALUE!</v>
      </c>
      <c r="I67" s="75">
        <f t="shared" si="17"/>
        <v>0.75</v>
      </c>
      <c r="J67" s="64">
        <f t="shared" si="18"/>
        <v>3846.0799999999958</v>
      </c>
      <c r="K67" s="56">
        <f t="shared" si="25"/>
        <v>3804.899999999996</v>
      </c>
      <c r="L67" s="56" t="e">
        <f t="shared" si="26"/>
        <v>#VALUE!</v>
      </c>
      <c r="M67" s="56" t="e">
        <f t="shared" si="27"/>
        <v>#VALUE!</v>
      </c>
      <c r="N67" s="52">
        <v>41.18</v>
      </c>
      <c r="O67" s="110">
        <f t="shared" si="19"/>
        <v>0</v>
      </c>
      <c r="P67" s="56" t="e">
        <f t="shared" si="20"/>
        <v>#VALUE!</v>
      </c>
      <c r="Q67" s="110" t="e">
        <f t="shared" si="28"/>
        <v>#VALUE!</v>
      </c>
      <c r="R67" s="56" t="e">
        <f t="shared" si="29"/>
        <v>#VALUE!</v>
      </c>
      <c r="S67" s="112" t="e">
        <f t="shared" si="21"/>
        <v>#VALUE!</v>
      </c>
      <c r="T67" s="72">
        <f t="shared" si="7"/>
        <v>28.424489441325061</v>
      </c>
      <c r="U67" s="111" t="e">
        <f t="shared" si="30"/>
        <v>#VALUE!</v>
      </c>
      <c r="V67" s="110" t="e">
        <f t="shared" si="31"/>
        <v>#VALUE!</v>
      </c>
      <c r="W67" s="56" t="e">
        <f t="shared" si="32"/>
        <v>#VALUE!</v>
      </c>
      <c r="X67" s="72">
        <f t="shared" si="22"/>
        <v>1.0045714285714284</v>
      </c>
    </row>
    <row r="68" spans="1:24" x14ac:dyDescent="0.35">
      <c r="A68" s="63">
        <f t="shared" si="13"/>
        <v>-7</v>
      </c>
      <c r="B68" s="108">
        <f t="shared" si="23"/>
        <v>62.951428571428643</v>
      </c>
      <c r="C68" s="55" t="e">
        <f t="shared" si="33"/>
        <v>#VALUE!</v>
      </c>
      <c r="D68" s="55" t="e">
        <f t="shared" si="24"/>
        <v>#VALUE!</v>
      </c>
      <c r="E68" s="55" t="e">
        <f t="shared" si="14"/>
        <v>#VALUE!</v>
      </c>
      <c r="F68" s="55" t="e">
        <f t="shared" si="15"/>
        <v>#VALUE!</v>
      </c>
      <c r="G68" s="75">
        <f t="shared" si="16"/>
        <v>0.6</v>
      </c>
      <c r="H68" s="56" t="e">
        <f t="shared" si="34"/>
        <v>#VALUE!</v>
      </c>
      <c r="I68" s="75">
        <f t="shared" si="17"/>
        <v>0.75</v>
      </c>
      <c r="J68" s="64">
        <f t="shared" si="18"/>
        <v>3804.899999999996</v>
      </c>
      <c r="K68" s="56">
        <f t="shared" si="25"/>
        <v>3762.7199999999962</v>
      </c>
      <c r="L68" s="56" t="e">
        <f t="shared" si="26"/>
        <v>#VALUE!</v>
      </c>
      <c r="M68" s="56" t="e">
        <f t="shared" si="27"/>
        <v>#VALUE!</v>
      </c>
      <c r="N68" s="52">
        <v>42.18</v>
      </c>
      <c r="O68" s="110">
        <f t="shared" si="19"/>
        <v>0</v>
      </c>
      <c r="P68" s="56" t="e">
        <f t="shared" si="20"/>
        <v>#VALUE!</v>
      </c>
      <c r="Q68" s="110" t="e">
        <f t="shared" si="28"/>
        <v>#VALUE!</v>
      </c>
      <c r="R68" s="56" t="e">
        <f t="shared" si="29"/>
        <v>#VALUE!</v>
      </c>
      <c r="S68" s="112" t="e">
        <f t="shared" si="21"/>
        <v>#VALUE!</v>
      </c>
      <c r="T68" s="72">
        <f t="shared" si="7"/>
        <v>28.767544212184674</v>
      </c>
      <c r="U68" s="111" t="e">
        <f t="shared" si="30"/>
        <v>#VALUE!</v>
      </c>
      <c r="V68" s="110" t="e">
        <f t="shared" si="31"/>
        <v>#VALUE!</v>
      </c>
      <c r="W68" s="56" t="e">
        <f t="shared" si="32"/>
        <v>#VALUE!</v>
      </c>
      <c r="X68" s="72">
        <f t="shared" si="22"/>
        <v>1.0045714285714284</v>
      </c>
    </row>
    <row r="69" spans="1:24" x14ac:dyDescent="0.35">
      <c r="A69" s="63">
        <f t="shared" si="13"/>
        <v>-8</v>
      </c>
      <c r="B69" s="108">
        <f t="shared" si="23"/>
        <v>61.806857142857211</v>
      </c>
      <c r="C69" s="55" t="e">
        <f t="shared" si="33"/>
        <v>#VALUE!</v>
      </c>
      <c r="D69" s="55" t="e">
        <f t="shared" si="24"/>
        <v>#VALUE!</v>
      </c>
      <c r="E69" s="55" t="e">
        <f t="shared" si="14"/>
        <v>#VALUE!</v>
      </c>
      <c r="F69" s="55" t="e">
        <f t="shared" si="15"/>
        <v>#VALUE!</v>
      </c>
      <c r="G69" s="75">
        <f t="shared" si="16"/>
        <v>0.6</v>
      </c>
      <c r="H69" s="56" t="e">
        <f t="shared" si="34"/>
        <v>#VALUE!</v>
      </c>
      <c r="I69" s="75">
        <f t="shared" si="17"/>
        <v>0.75</v>
      </c>
      <c r="J69" s="64">
        <f t="shared" si="18"/>
        <v>3762.7199999999962</v>
      </c>
      <c r="K69" s="56">
        <f t="shared" si="25"/>
        <v>3719.5399999999963</v>
      </c>
      <c r="L69" s="56" t="e">
        <f t="shared" si="26"/>
        <v>#VALUE!</v>
      </c>
      <c r="M69" s="56" t="e">
        <f t="shared" si="27"/>
        <v>#VALUE!</v>
      </c>
      <c r="N69" s="52">
        <v>43.18</v>
      </c>
      <c r="O69" s="110">
        <f t="shared" si="19"/>
        <v>0</v>
      </c>
      <c r="P69" s="56" t="e">
        <f t="shared" si="20"/>
        <v>#VALUE!</v>
      </c>
      <c r="Q69" s="110" t="e">
        <f t="shared" si="28"/>
        <v>#VALUE!</v>
      </c>
      <c r="R69" s="56" t="e">
        <f t="shared" si="29"/>
        <v>#VALUE!</v>
      </c>
      <c r="S69" s="112" t="e">
        <f t="shared" si="21"/>
        <v>#VALUE!</v>
      </c>
      <c r="T69" s="72">
        <f t="shared" si="7"/>
        <v>29.106555962531878</v>
      </c>
      <c r="U69" s="111" t="e">
        <f t="shared" si="30"/>
        <v>#VALUE!</v>
      </c>
      <c r="V69" s="110" t="e">
        <f t="shared" si="31"/>
        <v>#VALUE!</v>
      </c>
      <c r="W69" s="56" t="e">
        <f t="shared" si="32"/>
        <v>#VALUE!</v>
      </c>
      <c r="X69" s="72">
        <f t="shared" si="22"/>
        <v>1.0045714285714284</v>
      </c>
    </row>
    <row r="70" spans="1:24" x14ac:dyDescent="0.35">
      <c r="A70" s="63">
        <f t="shared" si="13"/>
        <v>-9</v>
      </c>
      <c r="B70" s="108">
        <f t="shared" si="23"/>
        <v>60.66228571428578</v>
      </c>
      <c r="C70" s="55" t="e">
        <f t="shared" si="33"/>
        <v>#VALUE!</v>
      </c>
      <c r="D70" s="55" t="e">
        <f t="shared" si="24"/>
        <v>#VALUE!</v>
      </c>
      <c r="E70" s="55" t="e">
        <f t="shared" si="14"/>
        <v>#VALUE!</v>
      </c>
      <c r="F70" s="55" t="e">
        <f t="shared" si="15"/>
        <v>#VALUE!</v>
      </c>
      <c r="G70" s="75">
        <f t="shared" si="16"/>
        <v>0.6</v>
      </c>
      <c r="H70" s="56" t="e">
        <f t="shared" si="34"/>
        <v>#VALUE!</v>
      </c>
      <c r="I70" s="75">
        <f t="shared" si="17"/>
        <v>0.75</v>
      </c>
      <c r="J70" s="64">
        <f t="shared" si="18"/>
        <v>3719.5399999999963</v>
      </c>
      <c r="K70" s="56">
        <f t="shared" si="25"/>
        <v>3675.3599999999965</v>
      </c>
      <c r="L70" s="56" t="e">
        <f t="shared" si="26"/>
        <v>#VALUE!</v>
      </c>
      <c r="M70" s="56" t="e">
        <f t="shared" si="27"/>
        <v>#VALUE!</v>
      </c>
      <c r="N70" s="52">
        <v>44.18</v>
      </c>
      <c r="O70" s="110">
        <f t="shared" si="19"/>
        <v>0</v>
      </c>
      <c r="P70" s="56" t="e">
        <f t="shared" si="20"/>
        <v>#VALUE!</v>
      </c>
      <c r="Q70" s="110" t="e">
        <f t="shared" si="28"/>
        <v>#VALUE!</v>
      </c>
      <c r="R70" s="56" t="e">
        <f t="shared" si="29"/>
        <v>#VALUE!</v>
      </c>
      <c r="S70" s="112" t="e">
        <f t="shared" si="21"/>
        <v>#VALUE!</v>
      </c>
      <c r="T70" s="72">
        <f t="shared" si="7"/>
        <v>29.441664355127752</v>
      </c>
      <c r="U70" s="111" t="e">
        <f t="shared" si="30"/>
        <v>#VALUE!</v>
      </c>
      <c r="V70" s="110" t="e">
        <f t="shared" si="31"/>
        <v>#VALUE!</v>
      </c>
      <c r="W70" s="56" t="e">
        <f t="shared" si="32"/>
        <v>#VALUE!</v>
      </c>
      <c r="X70" s="72">
        <f t="shared" si="22"/>
        <v>1.0045714285714284</v>
      </c>
    </row>
    <row r="71" spans="1:24" x14ac:dyDescent="0.35">
      <c r="A71" s="63">
        <f t="shared" si="13"/>
        <v>-10</v>
      </c>
      <c r="B71" s="108">
        <f t="shared" si="23"/>
        <v>59.517714285714348</v>
      </c>
      <c r="C71" s="55" t="e">
        <f t="shared" si="33"/>
        <v>#VALUE!</v>
      </c>
      <c r="D71" s="55" t="e">
        <f t="shared" si="24"/>
        <v>#VALUE!</v>
      </c>
      <c r="E71" s="55" t="e">
        <f t="shared" si="14"/>
        <v>#VALUE!</v>
      </c>
      <c r="F71" s="55" t="e">
        <f t="shared" si="15"/>
        <v>#VALUE!</v>
      </c>
      <c r="G71" s="75">
        <f t="shared" si="16"/>
        <v>0.6</v>
      </c>
      <c r="H71" s="56" t="e">
        <f t="shared" si="34"/>
        <v>#VALUE!</v>
      </c>
      <c r="I71" s="75">
        <f t="shared" si="17"/>
        <v>0.75</v>
      </c>
      <c r="J71" s="64">
        <f t="shared" si="18"/>
        <v>3675.3599999999965</v>
      </c>
      <c r="K71" s="56">
        <f t="shared" si="25"/>
        <v>3630.1799999999967</v>
      </c>
      <c r="L71" s="56" t="e">
        <f t="shared" si="26"/>
        <v>#VALUE!</v>
      </c>
      <c r="M71" s="56" t="e">
        <f t="shared" si="27"/>
        <v>#VALUE!</v>
      </c>
      <c r="N71" s="52">
        <v>45.18</v>
      </c>
      <c r="O71" s="110">
        <f t="shared" si="19"/>
        <v>0</v>
      </c>
      <c r="P71" s="56" t="e">
        <f t="shared" si="20"/>
        <v>#VALUE!</v>
      </c>
      <c r="Q71" s="110" t="e">
        <f t="shared" si="28"/>
        <v>#VALUE!</v>
      </c>
      <c r="R71" s="56" t="e">
        <f t="shared" si="29"/>
        <v>#VALUE!</v>
      </c>
      <c r="S71" s="112" t="e">
        <f t="shared" si="21"/>
        <v>#VALUE!</v>
      </c>
      <c r="T71" s="72">
        <f t="shared" si="7"/>
        <v>29.773001192355466</v>
      </c>
      <c r="U71" s="111" t="e">
        <f t="shared" si="30"/>
        <v>#VALUE!</v>
      </c>
      <c r="V71" s="110" t="e">
        <f t="shared" si="31"/>
        <v>#VALUE!</v>
      </c>
      <c r="W71" s="56" t="e">
        <f t="shared" si="32"/>
        <v>#VALUE!</v>
      </c>
      <c r="X71" s="72">
        <f t="shared" si="22"/>
        <v>1.0045714285714284</v>
      </c>
    </row>
    <row r="72" spans="1:24" x14ac:dyDescent="0.35">
      <c r="A72" s="63">
        <f t="shared" si="13"/>
        <v>-11</v>
      </c>
      <c r="B72" s="108">
        <f t="shared" si="23"/>
        <v>58.373142857142916</v>
      </c>
      <c r="C72" s="55" t="e">
        <f t="shared" si="33"/>
        <v>#VALUE!</v>
      </c>
      <c r="D72" s="55" t="e">
        <f t="shared" si="24"/>
        <v>#VALUE!</v>
      </c>
      <c r="E72" s="55" t="e">
        <f t="shared" si="14"/>
        <v>#VALUE!</v>
      </c>
      <c r="F72" s="55" t="e">
        <f t="shared" si="15"/>
        <v>#VALUE!</v>
      </c>
      <c r="G72" s="75">
        <f t="shared" si="16"/>
        <v>0.6</v>
      </c>
      <c r="H72" s="56" t="e">
        <f t="shared" si="34"/>
        <v>#VALUE!</v>
      </c>
      <c r="I72" s="75">
        <f t="shared" si="17"/>
        <v>0.75</v>
      </c>
      <c r="J72" s="64">
        <f t="shared" si="18"/>
        <v>3630.1799999999967</v>
      </c>
      <c r="K72" s="56">
        <f t="shared" si="25"/>
        <v>3583.9999999999968</v>
      </c>
      <c r="L72" s="56" t="e">
        <f t="shared" si="26"/>
        <v>#VALUE!</v>
      </c>
      <c r="M72" s="56" t="e">
        <f t="shared" si="27"/>
        <v>#VALUE!</v>
      </c>
      <c r="N72" s="52">
        <v>46.18</v>
      </c>
      <c r="O72" s="110">
        <f t="shared" si="19"/>
        <v>0</v>
      </c>
      <c r="P72" s="56" t="e">
        <f t="shared" si="20"/>
        <v>#VALUE!</v>
      </c>
      <c r="Q72" s="110" t="e">
        <f t="shared" si="28"/>
        <v>#VALUE!</v>
      </c>
      <c r="R72" s="56" t="e">
        <f t="shared" si="29"/>
        <v>#VALUE!</v>
      </c>
      <c r="S72" s="112" t="e">
        <f t="shared" si="21"/>
        <v>#VALUE!</v>
      </c>
      <c r="T72" s="72">
        <f t="shared" si="7"/>
        <v>30.100691021968249</v>
      </c>
      <c r="U72" s="111" t="e">
        <f t="shared" si="30"/>
        <v>#VALUE!</v>
      </c>
      <c r="V72" s="110" t="e">
        <f t="shared" si="31"/>
        <v>#VALUE!</v>
      </c>
      <c r="W72" s="56" t="e">
        <f t="shared" si="32"/>
        <v>#VALUE!</v>
      </c>
      <c r="X72" s="72">
        <f t="shared" si="22"/>
        <v>1.0045714285714284</v>
      </c>
    </row>
    <row r="73" spans="1:24" x14ac:dyDescent="0.35">
      <c r="A73" s="63">
        <f t="shared" si="13"/>
        <v>-12</v>
      </c>
      <c r="B73" s="108">
        <f t="shared" si="23"/>
        <v>57.228571428571485</v>
      </c>
      <c r="C73" s="55" t="e">
        <f t="shared" si="33"/>
        <v>#VALUE!</v>
      </c>
      <c r="D73" s="55" t="e">
        <f t="shared" si="24"/>
        <v>#VALUE!</v>
      </c>
      <c r="E73" s="55" t="e">
        <f t="shared" si="14"/>
        <v>#VALUE!</v>
      </c>
      <c r="F73" s="55" t="e">
        <f t="shared" si="15"/>
        <v>#VALUE!</v>
      </c>
      <c r="G73" s="75">
        <f t="shared" si="16"/>
        <v>0.6</v>
      </c>
      <c r="H73" s="56" t="e">
        <f t="shared" si="34"/>
        <v>#VALUE!</v>
      </c>
      <c r="I73" s="75">
        <f t="shared" si="17"/>
        <v>0.75</v>
      </c>
      <c r="J73" s="64">
        <f t="shared" si="18"/>
        <v>3583.9999999999968</v>
      </c>
      <c r="K73" s="56">
        <f t="shared" si="25"/>
        <v>3536.819999999997</v>
      </c>
      <c r="L73" s="56" t="e">
        <f t="shared" si="26"/>
        <v>#VALUE!</v>
      </c>
      <c r="M73" s="56" t="e">
        <f t="shared" si="27"/>
        <v>#VALUE!</v>
      </c>
      <c r="N73" s="52">
        <v>47.18</v>
      </c>
      <c r="O73" s="110">
        <f t="shared" si="19"/>
        <v>0</v>
      </c>
      <c r="P73" s="56" t="e">
        <f t="shared" si="20"/>
        <v>#VALUE!</v>
      </c>
      <c r="Q73" s="110" t="e">
        <f t="shared" si="28"/>
        <v>#VALUE!</v>
      </c>
      <c r="R73" s="56" t="e">
        <f t="shared" si="29"/>
        <v>#VALUE!</v>
      </c>
      <c r="S73" s="112" t="e">
        <f t="shared" si="21"/>
        <v>#VALUE!</v>
      </c>
      <c r="T73" s="72">
        <f t="shared" si="7"/>
        <v>30.424851684108503</v>
      </c>
      <c r="U73" s="111" t="e">
        <f t="shared" si="30"/>
        <v>#VALUE!</v>
      </c>
      <c r="V73" s="110" t="e">
        <f t="shared" si="31"/>
        <v>#VALUE!</v>
      </c>
      <c r="W73" s="56" t="e">
        <f t="shared" si="32"/>
        <v>#VALUE!</v>
      </c>
      <c r="X73" s="72">
        <f t="shared" si="22"/>
        <v>1.0045714285714284</v>
      </c>
    </row>
    <row r="74" spans="1:24" x14ac:dyDescent="0.35">
      <c r="A74" s="63">
        <f t="shared" si="13"/>
        <v>-13</v>
      </c>
      <c r="B74" s="108">
        <f t="shared" si="23"/>
        <v>56.084000000000053</v>
      </c>
      <c r="C74" s="55" t="e">
        <f t="shared" si="33"/>
        <v>#VALUE!</v>
      </c>
      <c r="D74" s="55" t="e">
        <f t="shared" si="24"/>
        <v>#VALUE!</v>
      </c>
      <c r="E74" s="55" t="e">
        <f t="shared" si="14"/>
        <v>#VALUE!</v>
      </c>
      <c r="F74" s="55" t="e">
        <f t="shared" si="15"/>
        <v>#VALUE!</v>
      </c>
      <c r="G74" s="75">
        <f t="shared" si="16"/>
        <v>0.6</v>
      </c>
      <c r="H74" s="56" t="e">
        <f t="shared" si="34"/>
        <v>#VALUE!</v>
      </c>
      <c r="I74" s="75">
        <f t="shared" si="17"/>
        <v>0.75</v>
      </c>
      <c r="J74" s="64">
        <f t="shared" si="18"/>
        <v>3536.819999999997</v>
      </c>
      <c r="K74" s="56">
        <f t="shared" si="25"/>
        <v>3488.6399999999971</v>
      </c>
      <c r="L74" s="56" t="e">
        <f t="shared" si="26"/>
        <v>#VALUE!</v>
      </c>
      <c r="M74" s="56" t="e">
        <f t="shared" si="27"/>
        <v>#VALUE!</v>
      </c>
      <c r="N74" s="52">
        <v>48.18</v>
      </c>
      <c r="O74" s="110">
        <f t="shared" si="19"/>
        <v>0</v>
      </c>
      <c r="P74" s="56" t="e">
        <f t="shared" si="20"/>
        <v>#VALUE!</v>
      </c>
      <c r="Q74" s="110" t="e">
        <f t="shared" si="28"/>
        <v>#VALUE!</v>
      </c>
      <c r="R74" s="56" t="e">
        <f t="shared" si="29"/>
        <v>#VALUE!</v>
      </c>
      <c r="S74" s="112" t="e">
        <f t="shared" si="21"/>
        <v>#VALUE!</v>
      </c>
      <c r="T74" s="72">
        <f t="shared" si="7"/>
        <v>30.745594806410885</v>
      </c>
      <c r="U74" s="111" t="e">
        <f t="shared" si="30"/>
        <v>#VALUE!</v>
      </c>
      <c r="V74" s="110" t="e">
        <f t="shared" si="31"/>
        <v>#VALUE!</v>
      </c>
      <c r="W74" s="56" t="e">
        <f t="shared" si="32"/>
        <v>#VALUE!</v>
      </c>
      <c r="X74" s="72">
        <f t="shared" si="22"/>
        <v>1.0045714285714284</v>
      </c>
    </row>
    <row r="75" spans="1:24" x14ac:dyDescent="0.35">
      <c r="A75" s="63">
        <f t="shared" si="13"/>
        <v>-14</v>
      </c>
      <c r="B75" s="108">
        <f t="shared" si="23"/>
        <v>54.939428571428621</v>
      </c>
      <c r="C75" s="55" t="e">
        <f t="shared" si="33"/>
        <v>#VALUE!</v>
      </c>
      <c r="D75" s="55" t="e">
        <f t="shared" si="24"/>
        <v>#VALUE!</v>
      </c>
      <c r="E75" s="55" t="e">
        <f t="shared" si="14"/>
        <v>#VALUE!</v>
      </c>
      <c r="F75" s="55" t="e">
        <f t="shared" si="15"/>
        <v>#VALUE!</v>
      </c>
      <c r="G75" s="75">
        <f t="shared" si="16"/>
        <v>0.6</v>
      </c>
      <c r="H75" s="56" t="e">
        <f t="shared" si="34"/>
        <v>#VALUE!</v>
      </c>
      <c r="I75" s="75">
        <f t="shared" si="17"/>
        <v>0.75</v>
      </c>
      <c r="J75" s="64">
        <f t="shared" si="18"/>
        <v>3488.6399999999971</v>
      </c>
      <c r="K75" s="56">
        <f t="shared" si="25"/>
        <v>3439.4599999999973</v>
      </c>
      <c r="L75" s="56" t="e">
        <f t="shared" si="26"/>
        <v>#VALUE!</v>
      </c>
      <c r="M75" s="56" t="e">
        <f t="shared" si="27"/>
        <v>#VALUE!</v>
      </c>
      <c r="N75" s="52">
        <v>49.18</v>
      </c>
      <c r="O75" s="110">
        <f t="shared" si="19"/>
        <v>0</v>
      </c>
      <c r="P75" s="56" t="e">
        <f t="shared" si="20"/>
        <v>#VALUE!</v>
      </c>
      <c r="Q75" s="110" t="e">
        <f t="shared" si="28"/>
        <v>#VALUE!</v>
      </c>
      <c r="R75" s="56" t="e">
        <f t="shared" si="29"/>
        <v>#VALUE!</v>
      </c>
      <c r="S75" s="112" t="e">
        <f t="shared" si="21"/>
        <v>#VALUE!</v>
      </c>
      <c r="T75" s="72">
        <f t="shared" si="7"/>
        <v>31.063026253087447</v>
      </c>
      <c r="U75" s="111" t="e">
        <f t="shared" si="30"/>
        <v>#VALUE!</v>
      </c>
      <c r="V75" s="110" t="e">
        <f t="shared" si="31"/>
        <v>#VALUE!</v>
      </c>
      <c r="W75" s="56" t="e">
        <f t="shared" si="32"/>
        <v>#VALUE!</v>
      </c>
      <c r="X75" s="72">
        <f t="shared" si="22"/>
        <v>1.0045714285714284</v>
      </c>
    </row>
    <row r="76" spans="1:24" x14ac:dyDescent="0.35">
      <c r="A76" s="63">
        <f t="shared" si="13"/>
        <v>-15</v>
      </c>
      <c r="B76" s="108">
        <f t="shared" si="23"/>
        <v>53.79485714285719</v>
      </c>
      <c r="C76" s="55" t="e">
        <f t="shared" si="33"/>
        <v>#VALUE!</v>
      </c>
      <c r="D76" s="55" t="e">
        <f t="shared" si="24"/>
        <v>#VALUE!</v>
      </c>
      <c r="E76" s="55" t="e">
        <f t="shared" si="14"/>
        <v>#VALUE!</v>
      </c>
      <c r="F76" s="55" t="e">
        <f t="shared" si="15"/>
        <v>#VALUE!</v>
      </c>
      <c r="G76" s="75">
        <f t="shared" si="16"/>
        <v>0.6</v>
      </c>
      <c r="H76" s="56" t="e">
        <f t="shared" si="34"/>
        <v>#VALUE!</v>
      </c>
      <c r="I76" s="75">
        <f t="shared" si="17"/>
        <v>0.75</v>
      </c>
      <c r="J76" s="64">
        <f t="shared" si="18"/>
        <v>3439.4599999999973</v>
      </c>
      <c r="K76" s="56">
        <f t="shared" si="25"/>
        <v>3389.2799999999975</v>
      </c>
      <c r="L76" s="56" t="e">
        <f t="shared" si="26"/>
        <v>#VALUE!</v>
      </c>
      <c r="M76" s="56" t="e">
        <f t="shared" si="27"/>
        <v>#VALUE!</v>
      </c>
      <c r="N76" s="52">
        <v>50.18</v>
      </c>
      <c r="O76" s="110">
        <f t="shared" si="19"/>
        <v>0</v>
      </c>
      <c r="P76" s="56" t="e">
        <f t="shared" si="20"/>
        <v>#VALUE!</v>
      </c>
      <c r="Q76" s="110" t="e">
        <f t="shared" si="28"/>
        <v>#VALUE!</v>
      </c>
      <c r="R76" s="56" t="e">
        <f t="shared" si="29"/>
        <v>#VALUE!</v>
      </c>
      <c r="S76" s="112" t="e">
        <f t="shared" si="21"/>
        <v>#VALUE!</v>
      </c>
      <c r="T76" s="72">
        <f t="shared" si="7"/>
        <v>31.377246533116956</v>
      </c>
      <c r="U76" s="111" t="e">
        <f t="shared" si="30"/>
        <v>#VALUE!</v>
      </c>
      <c r="V76" s="110" t="e">
        <f t="shared" si="31"/>
        <v>#VALUE!</v>
      </c>
      <c r="W76" s="56" t="e">
        <f t="shared" si="32"/>
        <v>#VALUE!</v>
      </c>
      <c r="X76" s="72">
        <f t="shared" si="22"/>
        <v>1.0045714285714284</v>
      </c>
    </row>
    <row r="77" spans="1:24" x14ac:dyDescent="0.35">
      <c r="A77" s="63">
        <f t="shared" si="13"/>
        <v>-16</v>
      </c>
      <c r="B77" s="108">
        <f t="shared" si="23"/>
        <v>52.650285714285758</v>
      </c>
      <c r="C77" s="55" t="e">
        <f t="shared" si="33"/>
        <v>#VALUE!</v>
      </c>
      <c r="D77" s="55" t="e">
        <f t="shared" si="24"/>
        <v>#VALUE!</v>
      </c>
      <c r="E77" s="55" t="e">
        <f t="shared" si="14"/>
        <v>#VALUE!</v>
      </c>
      <c r="F77" s="55" t="e">
        <f t="shared" si="15"/>
        <v>#VALUE!</v>
      </c>
      <c r="G77" s="75">
        <f t="shared" si="16"/>
        <v>0.6</v>
      </c>
      <c r="H77" s="56" t="e">
        <f t="shared" si="34"/>
        <v>#VALUE!</v>
      </c>
      <c r="I77" s="75">
        <f t="shared" si="17"/>
        <v>0.75</v>
      </c>
      <c r="J77" s="64">
        <f t="shared" si="18"/>
        <v>3389.2799999999975</v>
      </c>
      <c r="K77" s="56">
        <f t="shared" si="25"/>
        <v>3338.0999999999976</v>
      </c>
      <c r="L77" s="56" t="e">
        <f t="shared" si="26"/>
        <v>#VALUE!</v>
      </c>
      <c r="M77" s="56" t="e">
        <f t="shared" si="27"/>
        <v>#VALUE!</v>
      </c>
      <c r="N77" s="52">
        <v>51.18</v>
      </c>
      <c r="O77" s="110">
        <f t="shared" si="19"/>
        <v>0</v>
      </c>
      <c r="P77" s="56" t="e">
        <f t="shared" si="20"/>
        <v>#VALUE!</v>
      </c>
      <c r="Q77" s="110" t="e">
        <f t="shared" si="28"/>
        <v>#VALUE!</v>
      </c>
      <c r="R77" s="56" t="e">
        <f t="shared" si="29"/>
        <v>#VALUE!</v>
      </c>
      <c r="S77" s="112" t="e">
        <f t="shared" si="21"/>
        <v>#VALUE!</v>
      </c>
      <c r="T77" s="72">
        <f t="shared" si="7"/>
        <v>31.6883511720001</v>
      </c>
      <c r="U77" s="111" t="e">
        <f t="shared" si="30"/>
        <v>#VALUE!</v>
      </c>
      <c r="V77" s="110" t="e">
        <f t="shared" si="31"/>
        <v>#VALUE!</v>
      </c>
      <c r="W77" s="56" t="e">
        <f t="shared" si="32"/>
        <v>#VALUE!</v>
      </c>
      <c r="X77" s="72">
        <f t="shared" si="22"/>
        <v>1.0045714285714284</v>
      </c>
    </row>
    <row r="78" spans="1:24" x14ac:dyDescent="0.35">
      <c r="A78" s="63">
        <f t="shared" si="13"/>
        <v>-17</v>
      </c>
      <c r="B78" s="108">
        <f t="shared" si="23"/>
        <v>51.505714285714326</v>
      </c>
      <c r="C78" s="55" t="e">
        <f t="shared" si="33"/>
        <v>#VALUE!</v>
      </c>
      <c r="D78" s="55" t="e">
        <f t="shared" si="24"/>
        <v>#VALUE!</v>
      </c>
      <c r="E78" s="55" t="e">
        <f t="shared" si="14"/>
        <v>#VALUE!</v>
      </c>
      <c r="F78" s="55" t="e">
        <f t="shared" si="15"/>
        <v>#VALUE!</v>
      </c>
      <c r="G78" s="75">
        <f t="shared" si="16"/>
        <v>0.6</v>
      </c>
      <c r="H78" s="56" t="e">
        <f t="shared" si="34"/>
        <v>#VALUE!</v>
      </c>
      <c r="I78" s="75">
        <f t="shared" si="17"/>
        <v>0.75</v>
      </c>
      <c r="J78" s="64">
        <f t="shared" si="18"/>
        <v>3338.0999999999976</v>
      </c>
      <c r="K78" s="56">
        <f t="shared" si="25"/>
        <v>3285.9199999999978</v>
      </c>
      <c r="L78" s="56" t="e">
        <f t="shared" si="26"/>
        <v>#VALUE!</v>
      </c>
      <c r="M78" s="56" t="e">
        <f t="shared" si="27"/>
        <v>#VALUE!</v>
      </c>
      <c r="N78" s="52">
        <v>52.18</v>
      </c>
      <c r="O78" s="110">
        <f t="shared" si="19"/>
        <v>0</v>
      </c>
      <c r="P78" s="56" t="e">
        <f t="shared" si="20"/>
        <v>#VALUE!</v>
      </c>
      <c r="Q78" s="110" t="e">
        <f t="shared" si="28"/>
        <v>#VALUE!</v>
      </c>
      <c r="R78" s="56" t="e">
        <f t="shared" si="29"/>
        <v>#VALUE!</v>
      </c>
      <c r="S78" s="112" t="e">
        <f t="shared" si="21"/>
        <v>#VALUE!</v>
      </c>
      <c r="T78" s="72">
        <f t="shared" si="7"/>
        <v>31.99643105097817</v>
      </c>
      <c r="U78" s="111" t="e">
        <f t="shared" si="30"/>
        <v>#VALUE!</v>
      </c>
      <c r="V78" s="110" t="e">
        <f t="shared" si="31"/>
        <v>#VALUE!</v>
      </c>
      <c r="W78" s="56" t="e">
        <f t="shared" si="32"/>
        <v>#VALUE!</v>
      </c>
      <c r="X78" s="72">
        <f t="shared" si="22"/>
        <v>1.0045714285714284</v>
      </c>
    </row>
    <row r="79" spans="1:24" x14ac:dyDescent="0.35">
      <c r="A79" s="63">
        <f t="shared" si="13"/>
        <v>-18</v>
      </c>
      <c r="B79" s="108">
        <f t="shared" si="23"/>
        <v>50.361142857142895</v>
      </c>
      <c r="C79" s="55" t="e">
        <f t="shared" si="33"/>
        <v>#VALUE!</v>
      </c>
      <c r="D79" s="55" t="e">
        <f t="shared" si="24"/>
        <v>#VALUE!</v>
      </c>
      <c r="E79" s="55" t="e">
        <f t="shared" si="14"/>
        <v>#VALUE!</v>
      </c>
      <c r="F79" s="55" t="e">
        <f t="shared" si="15"/>
        <v>#VALUE!</v>
      </c>
      <c r="G79" s="75">
        <f t="shared" si="16"/>
        <v>0.6</v>
      </c>
      <c r="H79" s="56" t="e">
        <f t="shared" si="34"/>
        <v>#VALUE!</v>
      </c>
      <c r="I79" s="75">
        <f t="shared" si="17"/>
        <v>0.75</v>
      </c>
      <c r="J79" s="64">
        <f t="shared" si="18"/>
        <v>3285.9199999999978</v>
      </c>
      <c r="K79" s="56">
        <f t="shared" si="25"/>
        <v>3232.739999999998</v>
      </c>
      <c r="L79" s="56" t="e">
        <f t="shared" si="26"/>
        <v>#VALUE!</v>
      </c>
      <c r="M79" s="56" t="e">
        <f t="shared" si="27"/>
        <v>#VALUE!</v>
      </c>
      <c r="N79" s="52">
        <v>53.18</v>
      </c>
      <c r="O79" s="110">
        <f t="shared" si="19"/>
        <v>0</v>
      </c>
      <c r="P79" s="56" t="e">
        <f t="shared" si="20"/>
        <v>#VALUE!</v>
      </c>
      <c r="Q79" s="110" t="e">
        <f t="shared" si="28"/>
        <v>#VALUE!</v>
      </c>
      <c r="R79" s="56" t="e">
        <f t="shared" si="29"/>
        <v>#VALUE!</v>
      </c>
      <c r="S79" s="112" t="e">
        <f t="shared" si="21"/>
        <v>#VALUE!</v>
      </c>
      <c r="T79" s="72">
        <f t="shared" si="7"/>
        <v>32.301572717129424</v>
      </c>
      <c r="U79" s="111" t="e">
        <f t="shared" si="30"/>
        <v>#VALUE!</v>
      </c>
      <c r="V79" s="110" t="e">
        <f t="shared" si="31"/>
        <v>#VALUE!</v>
      </c>
      <c r="W79" s="56" t="e">
        <f t="shared" si="32"/>
        <v>#VALUE!</v>
      </c>
      <c r="X79" s="72">
        <f t="shared" si="22"/>
        <v>1.0045714285714284</v>
      </c>
    </row>
    <row r="80" spans="1:24" x14ac:dyDescent="0.35">
      <c r="A80" s="63">
        <f t="shared" si="13"/>
        <v>-19</v>
      </c>
      <c r="B80" s="108">
        <f t="shared" si="23"/>
        <v>49.216571428571463</v>
      </c>
      <c r="C80" s="55" t="e">
        <f t="shared" si="33"/>
        <v>#VALUE!</v>
      </c>
      <c r="D80" s="55" t="e">
        <f t="shared" si="24"/>
        <v>#VALUE!</v>
      </c>
      <c r="E80" s="55" t="e">
        <f t="shared" si="14"/>
        <v>#VALUE!</v>
      </c>
      <c r="F80" s="55" t="e">
        <f t="shared" si="15"/>
        <v>#VALUE!</v>
      </c>
      <c r="G80" s="75">
        <f t="shared" si="16"/>
        <v>0.6</v>
      </c>
      <c r="H80" s="56" t="e">
        <f t="shared" si="34"/>
        <v>#VALUE!</v>
      </c>
      <c r="I80" s="75">
        <f t="shared" si="17"/>
        <v>0.75</v>
      </c>
      <c r="J80" s="64">
        <f t="shared" si="18"/>
        <v>3232.739999999998</v>
      </c>
      <c r="K80" s="56">
        <f t="shared" si="25"/>
        <v>3178.5599999999981</v>
      </c>
      <c r="L80" s="56" t="e">
        <f t="shared" si="26"/>
        <v>#VALUE!</v>
      </c>
      <c r="M80" s="56" t="e">
        <f t="shared" si="27"/>
        <v>#VALUE!</v>
      </c>
      <c r="N80" s="52">
        <v>54.18</v>
      </c>
      <c r="O80" s="110">
        <f t="shared" si="19"/>
        <v>0</v>
      </c>
      <c r="P80" s="56" t="e">
        <f t="shared" si="20"/>
        <v>#VALUE!</v>
      </c>
      <c r="Q80" s="110" t="e">
        <f t="shared" si="28"/>
        <v>#VALUE!</v>
      </c>
      <c r="R80" s="56" t="e">
        <f t="shared" si="29"/>
        <v>#VALUE!</v>
      </c>
      <c r="S80" s="112" t="e">
        <f t="shared" si="21"/>
        <v>#VALUE!</v>
      </c>
      <c r="T80" s="72">
        <f t="shared" si="7"/>
        <v>32.603858667341818</v>
      </c>
      <c r="U80" s="111" t="e">
        <f t="shared" si="30"/>
        <v>#VALUE!</v>
      </c>
      <c r="V80" s="110" t="e">
        <f t="shared" si="31"/>
        <v>#VALUE!</v>
      </c>
      <c r="W80" s="56" t="e">
        <f t="shared" si="32"/>
        <v>#VALUE!</v>
      </c>
      <c r="X80" s="72">
        <f t="shared" si="22"/>
        <v>1.0045714285714284</v>
      </c>
    </row>
    <row r="81" spans="1:24" x14ac:dyDescent="0.35">
      <c r="A81" s="63">
        <f t="shared" si="13"/>
        <v>-20</v>
      </c>
      <c r="B81" s="108">
        <f t="shared" si="23"/>
        <v>48.072000000000031</v>
      </c>
      <c r="C81" s="55" t="e">
        <f t="shared" si="33"/>
        <v>#VALUE!</v>
      </c>
      <c r="D81" s="55" t="e">
        <f t="shared" si="24"/>
        <v>#VALUE!</v>
      </c>
      <c r="E81" s="55" t="e">
        <f t="shared" si="14"/>
        <v>#VALUE!</v>
      </c>
      <c r="F81" s="55" t="e">
        <f t="shared" si="15"/>
        <v>#VALUE!</v>
      </c>
      <c r="G81" s="75">
        <f t="shared" si="16"/>
        <v>0.6</v>
      </c>
      <c r="H81" s="56" t="e">
        <f t="shared" si="34"/>
        <v>#VALUE!</v>
      </c>
      <c r="I81" s="75">
        <f t="shared" si="17"/>
        <v>0.75</v>
      </c>
      <c r="J81" s="64">
        <f t="shared" si="18"/>
        <v>3178.5599999999981</v>
      </c>
      <c r="K81" s="56">
        <f t="shared" si="25"/>
        <v>3123.3799999999983</v>
      </c>
      <c r="L81" s="56" t="e">
        <f t="shared" si="26"/>
        <v>#VALUE!</v>
      </c>
      <c r="M81" s="56" t="e">
        <f t="shared" si="27"/>
        <v>#VALUE!</v>
      </c>
      <c r="N81" s="52">
        <v>55.18</v>
      </c>
      <c r="O81" s="110">
        <f t="shared" si="19"/>
        <v>0</v>
      </c>
      <c r="P81" s="56" t="e">
        <f t="shared" si="20"/>
        <v>#VALUE!</v>
      </c>
      <c r="Q81" s="110" t="e">
        <f t="shared" si="28"/>
        <v>#VALUE!</v>
      </c>
      <c r="R81" s="56" t="e">
        <f t="shared" si="29"/>
        <v>#VALUE!</v>
      </c>
      <c r="S81" s="112" t="e">
        <f t="shared" si="21"/>
        <v>#VALUE!</v>
      </c>
      <c r="T81" s="72">
        <f t="shared" si="7"/>
        <v>32.903367608802597</v>
      </c>
      <c r="U81" s="111" t="e">
        <f t="shared" si="30"/>
        <v>#VALUE!</v>
      </c>
      <c r="V81" s="110" t="e">
        <f t="shared" si="31"/>
        <v>#VALUE!</v>
      </c>
      <c r="W81" s="56" t="e">
        <f t="shared" si="32"/>
        <v>#VALUE!</v>
      </c>
      <c r="X81" s="72">
        <f t="shared" si="22"/>
        <v>1.0045714285714284</v>
      </c>
    </row>
    <row r="82" spans="1:24" x14ac:dyDescent="0.35">
      <c r="A82" s="63">
        <f t="shared" si="13"/>
        <v>-21</v>
      </c>
      <c r="B82" s="108">
        <f t="shared" si="23"/>
        <v>46.927428571428599</v>
      </c>
      <c r="C82" s="55" t="e">
        <f t="shared" si="33"/>
        <v>#VALUE!</v>
      </c>
      <c r="D82" s="55" t="e">
        <f t="shared" si="24"/>
        <v>#VALUE!</v>
      </c>
      <c r="E82" s="55" t="e">
        <f t="shared" si="14"/>
        <v>#VALUE!</v>
      </c>
      <c r="F82" s="55" t="e">
        <f t="shared" si="15"/>
        <v>#VALUE!</v>
      </c>
      <c r="G82" s="75">
        <f t="shared" si="16"/>
        <v>0.6</v>
      </c>
      <c r="H82" s="56" t="e">
        <f t="shared" si="34"/>
        <v>#VALUE!</v>
      </c>
      <c r="I82" s="75">
        <f t="shared" si="17"/>
        <v>0.75</v>
      </c>
      <c r="J82" s="64">
        <f t="shared" si="18"/>
        <v>3123.3799999999983</v>
      </c>
      <c r="K82" s="56">
        <f t="shared" si="25"/>
        <v>3067.1999999999985</v>
      </c>
      <c r="L82" s="56" t="e">
        <f t="shared" si="26"/>
        <v>#VALUE!</v>
      </c>
      <c r="M82" s="56" t="e">
        <f t="shared" si="27"/>
        <v>#VALUE!</v>
      </c>
      <c r="N82" s="52">
        <v>56.18</v>
      </c>
      <c r="O82" s="110">
        <f t="shared" si="19"/>
        <v>0</v>
      </c>
      <c r="P82" s="56" t="e">
        <f t="shared" si="20"/>
        <v>#VALUE!</v>
      </c>
      <c r="Q82" s="110" t="e">
        <f t="shared" si="28"/>
        <v>#VALUE!</v>
      </c>
      <c r="R82" s="56" t="e">
        <f t="shared" si="29"/>
        <v>#VALUE!</v>
      </c>
      <c r="S82" s="112" t="e">
        <f t="shared" si="21"/>
        <v>#VALUE!</v>
      </c>
      <c r="T82" s="72">
        <f t="shared" si="7"/>
        <v>33.200174698335552</v>
      </c>
      <c r="U82" s="111" t="e">
        <f t="shared" si="30"/>
        <v>#VALUE!</v>
      </c>
      <c r="V82" s="110" t="e">
        <f t="shared" si="31"/>
        <v>#VALUE!</v>
      </c>
      <c r="W82" s="56" t="e">
        <f t="shared" si="32"/>
        <v>#VALUE!</v>
      </c>
      <c r="X82" s="72">
        <f t="shared" si="22"/>
        <v>1.0045714285714284</v>
      </c>
    </row>
    <row r="83" spans="1:24" x14ac:dyDescent="0.35">
      <c r="A83" s="63">
        <f t="shared" si="13"/>
        <v>-22</v>
      </c>
      <c r="B83" s="108">
        <f t="shared" si="23"/>
        <v>45.782857142857168</v>
      </c>
      <c r="C83" s="55" t="e">
        <f t="shared" si="33"/>
        <v>#VALUE!</v>
      </c>
      <c r="D83" s="55" t="e">
        <f t="shared" si="24"/>
        <v>#VALUE!</v>
      </c>
      <c r="E83" s="55" t="e">
        <f t="shared" si="14"/>
        <v>#VALUE!</v>
      </c>
      <c r="F83" s="55" t="e">
        <f t="shared" si="15"/>
        <v>#VALUE!</v>
      </c>
      <c r="G83" s="75">
        <f t="shared" si="16"/>
        <v>0.6</v>
      </c>
      <c r="H83" s="56" t="e">
        <f t="shared" si="34"/>
        <v>#VALUE!</v>
      </c>
      <c r="I83" s="75">
        <f t="shared" si="17"/>
        <v>0.75</v>
      </c>
      <c r="J83" s="64">
        <f t="shared" si="18"/>
        <v>3067.1999999999985</v>
      </c>
      <c r="K83" s="56">
        <f t="shared" si="25"/>
        <v>3010.0199999999986</v>
      </c>
      <c r="L83" s="56" t="e">
        <f t="shared" si="26"/>
        <v>#VALUE!</v>
      </c>
      <c r="M83" s="56" t="e">
        <f t="shared" si="27"/>
        <v>#VALUE!</v>
      </c>
      <c r="N83" s="52">
        <v>57.18</v>
      </c>
      <c r="O83" s="110">
        <f t="shared" si="19"/>
        <v>0</v>
      </c>
      <c r="P83" s="56" t="e">
        <f t="shared" si="20"/>
        <v>#VALUE!</v>
      </c>
      <c r="Q83" s="110" t="e">
        <f t="shared" si="28"/>
        <v>#VALUE!</v>
      </c>
      <c r="R83" s="56" t="e">
        <f t="shared" si="29"/>
        <v>#VALUE!</v>
      </c>
      <c r="S83" s="112" t="e">
        <f t="shared" si="21"/>
        <v>#VALUE!</v>
      </c>
      <c r="T83" s="72">
        <f t="shared" si="7"/>
        <v>33.49435176264798</v>
      </c>
      <c r="U83" s="111" t="e">
        <f t="shared" si="30"/>
        <v>#VALUE!</v>
      </c>
      <c r="V83" s="110" t="e">
        <f t="shared" si="31"/>
        <v>#VALUE!</v>
      </c>
      <c r="W83" s="56" t="e">
        <f t="shared" si="32"/>
        <v>#VALUE!</v>
      </c>
      <c r="X83" s="72">
        <f t="shared" si="22"/>
        <v>1.0045714285714284</v>
      </c>
    </row>
    <row r="84" spans="1:24" x14ac:dyDescent="0.35">
      <c r="A84" s="63">
        <f t="shared" si="13"/>
        <v>-23</v>
      </c>
      <c r="B84" s="108">
        <f t="shared" si="23"/>
        <v>44.638285714285736</v>
      </c>
      <c r="C84" s="55" t="e">
        <f t="shared" si="33"/>
        <v>#VALUE!</v>
      </c>
      <c r="D84" s="55" t="e">
        <f t="shared" si="24"/>
        <v>#VALUE!</v>
      </c>
      <c r="E84" s="55" t="e">
        <f t="shared" si="14"/>
        <v>#VALUE!</v>
      </c>
      <c r="F84" s="55" t="e">
        <f t="shared" si="15"/>
        <v>#VALUE!</v>
      </c>
      <c r="G84" s="75">
        <f t="shared" si="16"/>
        <v>0.6</v>
      </c>
      <c r="H84" s="56" t="e">
        <f t="shared" si="34"/>
        <v>#VALUE!</v>
      </c>
      <c r="I84" s="75">
        <f t="shared" si="17"/>
        <v>0.75</v>
      </c>
      <c r="J84" s="64">
        <f t="shared" si="18"/>
        <v>3010.0199999999986</v>
      </c>
      <c r="K84" s="56">
        <f t="shared" si="25"/>
        <v>2951.8399999999988</v>
      </c>
      <c r="L84" s="56" t="e">
        <f t="shared" si="26"/>
        <v>#VALUE!</v>
      </c>
      <c r="M84" s="56" t="e">
        <f t="shared" si="27"/>
        <v>#VALUE!</v>
      </c>
      <c r="N84" s="52">
        <v>58.18</v>
      </c>
      <c r="O84" s="110">
        <f t="shared" si="19"/>
        <v>0</v>
      </c>
      <c r="P84" s="56" t="e">
        <f t="shared" si="20"/>
        <v>#VALUE!</v>
      </c>
      <c r="Q84" s="110" t="e">
        <f t="shared" si="28"/>
        <v>#VALUE!</v>
      </c>
      <c r="R84" s="56" t="e">
        <f t="shared" si="29"/>
        <v>#VALUE!</v>
      </c>
      <c r="S84" s="112" t="e">
        <f t="shared" si="21"/>
        <v>#VALUE!</v>
      </c>
      <c r="T84" s="72">
        <f t="shared" si="7"/>
        <v>33.785967501316286</v>
      </c>
      <c r="U84" s="111" t="e">
        <f t="shared" si="30"/>
        <v>#VALUE!</v>
      </c>
      <c r="V84" s="110" t="e">
        <f t="shared" si="31"/>
        <v>#VALUE!</v>
      </c>
      <c r="W84" s="56" t="e">
        <f t="shared" si="32"/>
        <v>#VALUE!</v>
      </c>
      <c r="X84" s="72">
        <f t="shared" si="22"/>
        <v>1.0045714285714284</v>
      </c>
    </row>
    <row r="85" spans="1:24" x14ac:dyDescent="0.35">
      <c r="A85" s="63">
        <f t="shared" si="13"/>
        <v>-24</v>
      </c>
      <c r="B85" s="108">
        <f t="shared" si="23"/>
        <v>43.493714285714304</v>
      </c>
      <c r="C85" s="55" t="e">
        <f t="shared" si="33"/>
        <v>#VALUE!</v>
      </c>
      <c r="D85" s="55" t="e">
        <f t="shared" si="24"/>
        <v>#VALUE!</v>
      </c>
      <c r="E85" s="55" t="e">
        <f t="shared" si="14"/>
        <v>#VALUE!</v>
      </c>
      <c r="F85" s="55" t="e">
        <f t="shared" si="15"/>
        <v>#VALUE!</v>
      </c>
      <c r="G85" s="75">
        <f t="shared" si="16"/>
        <v>0.6</v>
      </c>
      <c r="H85" s="56" t="e">
        <f t="shared" si="34"/>
        <v>#VALUE!</v>
      </c>
      <c r="I85" s="75">
        <f t="shared" si="17"/>
        <v>0.75</v>
      </c>
      <c r="J85" s="64">
        <f t="shared" si="18"/>
        <v>2951.8399999999988</v>
      </c>
      <c r="K85" s="56">
        <f t="shared" si="25"/>
        <v>2892.6599999999989</v>
      </c>
      <c r="L85" s="56" t="e">
        <f t="shared" si="26"/>
        <v>#VALUE!</v>
      </c>
      <c r="M85" s="56" t="e">
        <f t="shared" si="27"/>
        <v>#VALUE!</v>
      </c>
      <c r="N85" s="52">
        <v>59.18</v>
      </c>
      <c r="O85" s="110">
        <f t="shared" si="19"/>
        <v>0</v>
      </c>
      <c r="P85" s="56" t="e">
        <f t="shared" si="20"/>
        <v>#VALUE!</v>
      </c>
      <c r="Q85" s="110" t="e">
        <f t="shared" si="28"/>
        <v>#VALUE!</v>
      </c>
      <c r="R85" s="56" t="e">
        <f t="shared" si="29"/>
        <v>#VALUE!</v>
      </c>
      <c r="S85" s="112" t="e">
        <f t="shared" si="21"/>
        <v>#VALUE!</v>
      </c>
      <c r="T85" s="72">
        <f t="shared" si="7"/>
        <v>34.07508767413519</v>
      </c>
      <c r="U85" s="111" t="e">
        <f t="shared" si="30"/>
        <v>#VALUE!</v>
      </c>
      <c r="V85" s="110" t="e">
        <f t="shared" si="31"/>
        <v>#VALUE!</v>
      </c>
      <c r="W85" s="56" t="e">
        <f t="shared" si="32"/>
        <v>#VALUE!</v>
      </c>
      <c r="X85" s="72">
        <f t="shared" si="22"/>
        <v>1.0045714285714284</v>
      </c>
    </row>
    <row r="86" spans="1:24" x14ac:dyDescent="0.35">
      <c r="A86" s="63">
        <f t="shared" si="13"/>
        <v>-25</v>
      </c>
      <c r="B86" s="108">
        <f t="shared" si="23"/>
        <v>42.349142857142873</v>
      </c>
      <c r="C86" s="55" t="e">
        <f t="shared" si="33"/>
        <v>#VALUE!</v>
      </c>
      <c r="D86" s="55" t="e">
        <f t="shared" si="24"/>
        <v>#VALUE!</v>
      </c>
      <c r="E86" s="55" t="e">
        <f t="shared" si="14"/>
        <v>#VALUE!</v>
      </c>
      <c r="F86" s="55" t="e">
        <f t="shared" si="15"/>
        <v>#VALUE!</v>
      </c>
      <c r="G86" s="75">
        <f t="shared" si="16"/>
        <v>0.6</v>
      </c>
      <c r="H86" s="56" t="e">
        <f t="shared" si="34"/>
        <v>#VALUE!</v>
      </c>
      <c r="I86" s="75">
        <f t="shared" si="17"/>
        <v>0.75</v>
      </c>
      <c r="J86" s="64">
        <f t="shared" si="18"/>
        <v>2892.6599999999989</v>
      </c>
      <c r="K86" s="56">
        <f t="shared" si="25"/>
        <v>2832.4799999999991</v>
      </c>
      <c r="L86" s="56" t="e">
        <f t="shared" si="26"/>
        <v>#VALUE!</v>
      </c>
      <c r="M86" s="56" t="e">
        <f t="shared" si="27"/>
        <v>#VALUE!</v>
      </c>
      <c r="N86" s="52">
        <v>60.18</v>
      </c>
      <c r="O86" s="110">
        <f t="shared" si="19"/>
        <v>0</v>
      </c>
      <c r="P86" s="56" t="e">
        <f t="shared" si="20"/>
        <v>#VALUE!</v>
      </c>
      <c r="Q86" s="110" t="e">
        <f t="shared" si="28"/>
        <v>#VALUE!</v>
      </c>
      <c r="R86" s="56" t="e">
        <f t="shared" si="29"/>
        <v>#VALUE!</v>
      </c>
      <c r="S86" s="112" t="e">
        <f t="shared" si="21"/>
        <v>#VALUE!</v>
      </c>
      <c r="T86" s="72">
        <f t="shared" si="7"/>
        <v>34.361775274278251</v>
      </c>
      <c r="U86" s="111" t="e">
        <f t="shared" si="30"/>
        <v>#VALUE!</v>
      </c>
      <c r="V86" s="110" t="e">
        <f t="shared" si="31"/>
        <v>#VALUE!</v>
      </c>
      <c r="W86" s="56" t="e">
        <f t="shared" si="32"/>
        <v>#VALUE!</v>
      </c>
      <c r="X86" s="72">
        <f t="shared" si="22"/>
        <v>1.0045714285714284</v>
      </c>
    </row>
    <row r="87" spans="1:24" x14ac:dyDescent="0.35">
      <c r="A87" s="63">
        <f t="shared" si="13"/>
        <v>-26</v>
      </c>
      <c r="B87" s="108">
        <f t="shared" si="23"/>
        <v>41.204571428571441</v>
      </c>
      <c r="C87" s="55" t="e">
        <f t="shared" si="33"/>
        <v>#VALUE!</v>
      </c>
      <c r="D87" s="55" t="e">
        <f t="shared" si="24"/>
        <v>#VALUE!</v>
      </c>
      <c r="E87" s="55" t="e">
        <f t="shared" si="14"/>
        <v>#VALUE!</v>
      </c>
      <c r="F87" s="55" t="e">
        <f t="shared" si="15"/>
        <v>#VALUE!</v>
      </c>
      <c r="G87" s="75">
        <f t="shared" si="16"/>
        <v>0.6</v>
      </c>
      <c r="H87" s="56" t="e">
        <f t="shared" si="34"/>
        <v>#VALUE!</v>
      </c>
      <c r="I87" s="75">
        <f t="shared" si="17"/>
        <v>0.75</v>
      </c>
      <c r="J87" s="64">
        <f t="shared" si="18"/>
        <v>2832.4799999999991</v>
      </c>
      <c r="K87" s="56">
        <f t="shared" si="25"/>
        <v>2771.2999999999993</v>
      </c>
      <c r="L87" s="56" t="e">
        <f t="shared" si="26"/>
        <v>#VALUE!</v>
      </c>
      <c r="M87" s="56" t="e">
        <f t="shared" si="27"/>
        <v>#VALUE!</v>
      </c>
      <c r="N87" s="52">
        <v>61.18</v>
      </c>
      <c r="O87" s="110">
        <f t="shared" si="19"/>
        <v>0</v>
      </c>
      <c r="P87" s="56" t="e">
        <f t="shared" si="20"/>
        <v>#VALUE!</v>
      </c>
      <c r="Q87" s="110" t="e">
        <f t="shared" si="28"/>
        <v>#VALUE!</v>
      </c>
      <c r="R87" s="56" t="e">
        <f t="shared" si="29"/>
        <v>#VALUE!</v>
      </c>
      <c r="S87" s="112" t="e">
        <f t="shared" si="21"/>
        <v>#VALUE!</v>
      </c>
      <c r="T87" s="72">
        <f t="shared" si="7"/>
        <v>34.646090688561095</v>
      </c>
      <c r="U87" s="111" t="e">
        <f t="shared" si="30"/>
        <v>#VALUE!</v>
      </c>
      <c r="V87" s="110" t="e">
        <f t="shared" si="31"/>
        <v>#VALUE!</v>
      </c>
      <c r="W87" s="56" t="e">
        <f t="shared" si="32"/>
        <v>#VALUE!</v>
      </c>
      <c r="X87" s="72">
        <f t="shared" si="22"/>
        <v>1.0045714285714284</v>
      </c>
    </row>
    <row r="88" spans="1:24" x14ac:dyDescent="0.35">
      <c r="A88" s="63">
        <f t="shared" si="13"/>
        <v>-27</v>
      </c>
      <c r="B88" s="108">
        <f t="shared" si="23"/>
        <v>40.060000000000009</v>
      </c>
      <c r="C88" s="55" t="e">
        <f t="shared" si="33"/>
        <v>#VALUE!</v>
      </c>
      <c r="D88" s="55" t="e">
        <f t="shared" si="24"/>
        <v>#VALUE!</v>
      </c>
      <c r="E88" s="55" t="e">
        <f t="shared" si="14"/>
        <v>#VALUE!</v>
      </c>
      <c r="F88" s="55" t="e">
        <f t="shared" si="15"/>
        <v>#VALUE!</v>
      </c>
      <c r="G88" s="75">
        <f t="shared" si="16"/>
        <v>0.6</v>
      </c>
      <c r="H88" s="56" t="e">
        <f t="shared" si="34"/>
        <v>#VALUE!</v>
      </c>
      <c r="I88" s="75">
        <f t="shared" si="17"/>
        <v>0.75</v>
      </c>
      <c r="J88" s="64">
        <f t="shared" si="18"/>
        <v>2771.2999999999993</v>
      </c>
      <c r="K88" s="56">
        <f t="shared" si="25"/>
        <v>2709.1199999999994</v>
      </c>
      <c r="L88" s="56" t="e">
        <f t="shared" si="26"/>
        <v>#VALUE!</v>
      </c>
      <c r="M88" s="56" t="e">
        <f t="shared" si="27"/>
        <v>#VALUE!</v>
      </c>
      <c r="N88" s="52">
        <v>62.18</v>
      </c>
      <c r="O88" s="110">
        <f t="shared" si="19"/>
        <v>0</v>
      </c>
      <c r="P88" s="56" t="e">
        <f t="shared" si="20"/>
        <v>#VALUE!</v>
      </c>
      <c r="Q88" s="110" t="e">
        <f t="shared" si="28"/>
        <v>#VALUE!</v>
      </c>
      <c r="R88" s="56" t="e">
        <f t="shared" si="29"/>
        <v>#VALUE!</v>
      </c>
      <c r="S88" s="112" t="e">
        <f t="shared" si="21"/>
        <v>#VALUE!</v>
      </c>
      <c r="T88" s="72">
        <f t="shared" si="7"/>
        <v>34.928091845962612</v>
      </c>
      <c r="U88" s="111" t="e">
        <f t="shared" si="30"/>
        <v>#VALUE!</v>
      </c>
      <c r="V88" s="110" t="e">
        <f t="shared" si="31"/>
        <v>#VALUE!</v>
      </c>
      <c r="W88" s="56" t="e">
        <f t="shared" si="32"/>
        <v>#VALUE!</v>
      </c>
      <c r="X88" s="72">
        <f t="shared" si="22"/>
        <v>1.0045714285714284</v>
      </c>
    </row>
    <row r="89" spans="1:24" x14ac:dyDescent="0.35">
      <c r="A89" s="63">
        <f t="shared" si="13"/>
        <v>-28</v>
      </c>
      <c r="B89" s="108">
        <f t="shared" ref="B89:B120" si="35">IF(A89=1,0,B90+X89+$F$19)</f>
        <v>38.915428571428578</v>
      </c>
      <c r="C89" s="55" t="e">
        <f t="shared" si="33"/>
        <v>#VALUE!</v>
      </c>
      <c r="D89" s="55" t="e">
        <f t="shared" ref="D89:D120" si="36">C89-$F$19*$L$10</f>
        <v>#VALUE!</v>
      </c>
      <c r="E89" s="55" t="e">
        <f t="shared" si="14"/>
        <v>#VALUE!</v>
      </c>
      <c r="F89" s="55" t="e">
        <f t="shared" si="15"/>
        <v>#VALUE!</v>
      </c>
      <c r="G89" s="75">
        <f t="shared" si="16"/>
        <v>0.6</v>
      </c>
      <c r="H89" s="56" t="e">
        <f t="shared" si="34"/>
        <v>#VALUE!</v>
      </c>
      <c r="I89" s="75">
        <f t="shared" si="17"/>
        <v>0.75</v>
      </c>
      <c r="J89" s="64">
        <f t="shared" si="18"/>
        <v>2709.1199999999994</v>
      </c>
      <c r="K89" s="56">
        <f t="shared" ref="K89:K122" si="37">IF(A89=1,$F$13,J90)</f>
        <v>2645.9399999999996</v>
      </c>
      <c r="L89" s="56" t="e">
        <f t="shared" ref="L89:L122" si="38">J89-F89</f>
        <v>#VALUE!</v>
      </c>
      <c r="M89" s="56" t="e">
        <f t="shared" ref="M89:M123" si="39">K89-D89</f>
        <v>#VALUE!</v>
      </c>
      <c r="N89" s="52">
        <v>63.18</v>
      </c>
      <c r="O89" s="110">
        <f t="shared" si="19"/>
        <v>0</v>
      </c>
      <c r="P89" s="56" t="e">
        <f t="shared" si="20"/>
        <v>#VALUE!</v>
      </c>
      <c r="Q89" s="110" t="e">
        <f t="shared" ref="Q89:Q120" si="40">IF(J89&gt;F89,SQRT(2*9.81)*L89^1.5*$F$17*P89*G89*2/3,0)</f>
        <v>#VALUE!</v>
      </c>
      <c r="R89" s="56" t="e">
        <f t="shared" ref="R89:R122" si="41">IF(J89&gt;E89,SQRT(2*9.81)*SQRT((J89-E89)^3)*0.6*($F$20-$F$17)*H89*2/3,0)</f>
        <v>#VALUE!</v>
      </c>
      <c r="S89" s="112" t="e">
        <f t="shared" si="21"/>
        <v>#VALUE!</v>
      </c>
      <c r="T89" s="72">
        <f t="shared" ref="T89:T122" si="42">(2*9.81*N89)^0.5</f>
        <v>35.207834355438564</v>
      </c>
      <c r="U89" s="111" t="e">
        <f t="shared" ref="U89:U122" si="43">IF(A89=1," ",9810*N89*S89/(W89*X89))</f>
        <v>#VALUE!</v>
      </c>
      <c r="V89" s="110" t="e">
        <f t="shared" ref="V89:V122" si="44">IF(A89=1," ",((K89-D89)+(J90-C90))/2)</f>
        <v>#VALUE!</v>
      </c>
      <c r="W89" s="56" t="e">
        <f t="shared" ref="W89:W120" si="45">IF(A89=1," ",V89*$F$20)</f>
        <v>#VALUE!</v>
      </c>
      <c r="X89" s="72">
        <f t="shared" si="22"/>
        <v>1.0045714285714284</v>
      </c>
    </row>
    <row r="90" spans="1:24" x14ac:dyDescent="0.35">
      <c r="A90" s="63">
        <f t="shared" si="13"/>
        <v>-29</v>
      </c>
      <c r="B90" s="108">
        <f t="shared" si="35"/>
        <v>37.770857142857146</v>
      </c>
      <c r="C90" s="55" t="e">
        <f t="shared" ref="C90:C122" si="46">C89-((X89+$F$19)*$L$10)</f>
        <v>#VALUE!</v>
      </c>
      <c r="D90" s="55" t="e">
        <f t="shared" si="36"/>
        <v>#VALUE!</v>
      </c>
      <c r="E90" s="55" t="e">
        <f t="shared" si="14"/>
        <v>#VALUE!</v>
      </c>
      <c r="F90" s="55" t="e">
        <f t="shared" si="15"/>
        <v>#VALUE!</v>
      </c>
      <c r="G90" s="75">
        <f t="shared" si="16"/>
        <v>0.6</v>
      </c>
      <c r="H90" s="56" t="e">
        <f t="shared" ref="H90:H123" si="47">IF(K90&gt;E90,(1-((K90-E90)/(J90-E90+0.000001))^F85)^0.5,1)</f>
        <v>#VALUE!</v>
      </c>
      <c r="I90" s="75">
        <f t="shared" si="17"/>
        <v>0.75</v>
      </c>
      <c r="J90" s="64">
        <f t="shared" si="18"/>
        <v>2645.9399999999996</v>
      </c>
      <c r="K90" s="56">
        <f t="shared" si="37"/>
        <v>2581.7599999999998</v>
      </c>
      <c r="L90" s="56" t="e">
        <f t="shared" si="38"/>
        <v>#VALUE!</v>
      </c>
      <c r="M90" s="56" t="e">
        <f t="shared" si="39"/>
        <v>#VALUE!</v>
      </c>
      <c r="N90" s="52">
        <v>64.180000000000007</v>
      </c>
      <c r="O90" s="110">
        <f t="shared" si="19"/>
        <v>0</v>
      </c>
      <c r="P90" s="56" t="e">
        <f t="shared" si="20"/>
        <v>#VALUE!</v>
      </c>
      <c r="Q90" s="110" t="e">
        <f t="shared" si="40"/>
        <v>#VALUE!</v>
      </c>
      <c r="R90" s="56" t="e">
        <f t="shared" si="41"/>
        <v>#VALUE!</v>
      </c>
      <c r="S90" s="112" t="e">
        <f t="shared" si="21"/>
        <v>#VALUE!</v>
      </c>
      <c r="T90" s="72">
        <f t="shared" si="42"/>
        <v>35.485371633956433</v>
      </c>
      <c r="U90" s="111" t="e">
        <f t="shared" si="43"/>
        <v>#VALUE!</v>
      </c>
      <c r="V90" s="110" t="e">
        <f t="shared" si="44"/>
        <v>#VALUE!</v>
      </c>
      <c r="W90" s="56" t="e">
        <f t="shared" si="45"/>
        <v>#VALUE!</v>
      </c>
      <c r="X90" s="72">
        <f t="shared" si="22"/>
        <v>1.0045714285714284</v>
      </c>
    </row>
    <row r="91" spans="1:24" x14ac:dyDescent="0.35">
      <c r="A91" s="63">
        <f t="shared" ref="A91:A122" si="48">A90-1</f>
        <v>-30</v>
      </c>
      <c r="B91" s="108">
        <f t="shared" si="35"/>
        <v>36.626285714285714</v>
      </c>
      <c r="C91" s="55" t="e">
        <f t="shared" si="46"/>
        <v>#VALUE!</v>
      </c>
      <c r="D91" s="55" t="e">
        <f t="shared" si="36"/>
        <v>#VALUE!</v>
      </c>
      <c r="E91" s="55" t="e">
        <f t="shared" ref="E91:E122" si="49">C91+$F$14</f>
        <v>#VALUE!</v>
      </c>
      <c r="F91" s="55" t="e">
        <f t="shared" ref="F91:F122" si="50">E91-$F$18</f>
        <v>#VALUE!</v>
      </c>
      <c r="G91" s="75">
        <f t="shared" ref="G91:G122" si="51">G90</f>
        <v>0.6</v>
      </c>
      <c r="H91" s="56" t="e">
        <f t="shared" si="47"/>
        <v>#VALUE!</v>
      </c>
      <c r="I91" s="75">
        <f t="shared" ref="I91:I122" si="52">I90</f>
        <v>0.75</v>
      </c>
      <c r="J91" s="64">
        <f t="shared" ref="J91:J122" si="53">K91+N91</f>
        <v>2581.7599999999998</v>
      </c>
      <c r="K91" s="56">
        <f t="shared" si="37"/>
        <v>2516.58</v>
      </c>
      <c r="L91" s="56" t="e">
        <f t="shared" si="38"/>
        <v>#VALUE!</v>
      </c>
      <c r="M91" s="56" t="e">
        <f t="shared" si="39"/>
        <v>#VALUE!</v>
      </c>
      <c r="N91" s="52">
        <v>65.180000000000007</v>
      </c>
      <c r="O91" s="110">
        <f t="shared" ref="O91:O122" si="54">I91*$F$15*$F$16*(2*9.81*N91)^0.5</f>
        <v>0</v>
      </c>
      <c r="P91" s="56" t="e">
        <f t="shared" ref="P91:P122" si="55">IF(N91&gt;L91,1,(1-(1-N91/L91)^1.5)^0.385)</f>
        <v>#VALUE!</v>
      </c>
      <c r="Q91" s="110" t="e">
        <f t="shared" si="40"/>
        <v>#VALUE!</v>
      </c>
      <c r="R91" s="56" t="e">
        <f t="shared" si="41"/>
        <v>#VALUE!</v>
      </c>
      <c r="S91" s="112" t="e">
        <f t="shared" ref="S91:S122" si="56">O91+Q91+R91</f>
        <v>#VALUE!</v>
      </c>
      <c r="T91" s="72">
        <f t="shared" si="42"/>
        <v>35.760755025586363</v>
      </c>
      <c r="U91" s="111" t="e">
        <f t="shared" si="43"/>
        <v>#VALUE!</v>
      </c>
      <c r="V91" s="110" t="e">
        <f t="shared" si="44"/>
        <v>#VALUE!</v>
      </c>
      <c r="W91" s="56" t="e">
        <f t="shared" si="45"/>
        <v>#VALUE!</v>
      </c>
      <c r="X91" s="72">
        <f t="shared" ref="X91:X122" si="57">IF(A91=1," ",(($F$8-$F$19)/($F$9-1))-$F$19)</f>
        <v>1.0045714285714284</v>
      </c>
    </row>
    <row r="92" spans="1:24" x14ac:dyDescent="0.35">
      <c r="A92" s="63">
        <f t="shared" si="48"/>
        <v>-31</v>
      </c>
      <c r="B92" s="108">
        <f t="shared" si="35"/>
        <v>35.481714285714283</v>
      </c>
      <c r="C92" s="55" t="e">
        <f t="shared" si="46"/>
        <v>#VALUE!</v>
      </c>
      <c r="D92" s="55" t="e">
        <f t="shared" si="36"/>
        <v>#VALUE!</v>
      </c>
      <c r="E92" s="55" t="e">
        <f t="shared" si="49"/>
        <v>#VALUE!</v>
      </c>
      <c r="F92" s="55" t="e">
        <f t="shared" si="50"/>
        <v>#VALUE!</v>
      </c>
      <c r="G92" s="75">
        <f t="shared" si="51"/>
        <v>0.6</v>
      </c>
      <c r="H92" s="56" t="e">
        <f t="shared" si="47"/>
        <v>#VALUE!</v>
      </c>
      <c r="I92" s="75">
        <f t="shared" si="52"/>
        <v>0.75</v>
      </c>
      <c r="J92" s="64">
        <f t="shared" si="53"/>
        <v>2516.58</v>
      </c>
      <c r="K92" s="56">
        <f t="shared" si="37"/>
        <v>2450.4</v>
      </c>
      <c r="L92" s="56" t="e">
        <f t="shared" si="38"/>
        <v>#VALUE!</v>
      </c>
      <c r="M92" s="56" t="e">
        <f t="shared" si="39"/>
        <v>#VALUE!</v>
      </c>
      <c r="N92" s="52">
        <v>66.180000000000007</v>
      </c>
      <c r="O92" s="110">
        <f t="shared" si="54"/>
        <v>0</v>
      </c>
      <c r="P92" s="56" t="e">
        <f t="shared" si="55"/>
        <v>#VALUE!</v>
      </c>
      <c r="Q92" s="110" t="e">
        <f t="shared" si="40"/>
        <v>#VALUE!</v>
      </c>
      <c r="R92" s="56" t="e">
        <f t="shared" si="41"/>
        <v>#VALUE!</v>
      </c>
      <c r="S92" s="112" t="e">
        <f t="shared" si="56"/>
        <v>#VALUE!</v>
      </c>
      <c r="T92" s="72">
        <f t="shared" si="42"/>
        <v>36.034033912400098</v>
      </c>
      <c r="U92" s="111" t="e">
        <f t="shared" si="43"/>
        <v>#VALUE!</v>
      </c>
      <c r="V92" s="110" t="e">
        <f t="shared" si="44"/>
        <v>#VALUE!</v>
      </c>
      <c r="W92" s="56" t="e">
        <f t="shared" si="45"/>
        <v>#VALUE!</v>
      </c>
      <c r="X92" s="72">
        <f t="shared" si="57"/>
        <v>1.0045714285714284</v>
      </c>
    </row>
    <row r="93" spans="1:24" x14ac:dyDescent="0.35">
      <c r="A93" s="63">
        <f t="shared" si="48"/>
        <v>-32</v>
      </c>
      <c r="B93" s="108">
        <f t="shared" si="35"/>
        <v>34.337142857142851</v>
      </c>
      <c r="C93" s="55" t="e">
        <f t="shared" si="46"/>
        <v>#VALUE!</v>
      </c>
      <c r="D93" s="55" t="e">
        <f t="shared" si="36"/>
        <v>#VALUE!</v>
      </c>
      <c r="E93" s="55" t="e">
        <f t="shared" si="49"/>
        <v>#VALUE!</v>
      </c>
      <c r="F93" s="55" t="e">
        <f t="shared" si="50"/>
        <v>#VALUE!</v>
      </c>
      <c r="G93" s="75">
        <f t="shared" si="51"/>
        <v>0.6</v>
      </c>
      <c r="H93" s="56" t="e">
        <f t="shared" si="47"/>
        <v>#VALUE!</v>
      </c>
      <c r="I93" s="75">
        <f t="shared" si="52"/>
        <v>0.75</v>
      </c>
      <c r="J93" s="64">
        <f t="shared" si="53"/>
        <v>2450.4</v>
      </c>
      <c r="K93" s="56">
        <f t="shared" si="37"/>
        <v>2383.2200000000003</v>
      </c>
      <c r="L93" s="56" t="e">
        <f t="shared" si="38"/>
        <v>#VALUE!</v>
      </c>
      <c r="M93" s="56" t="e">
        <f t="shared" si="39"/>
        <v>#VALUE!</v>
      </c>
      <c r="N93" s="52">
        <v>67.180000000000007</v>
      </c>
      <c r="O93" s="110">
        <f t="shared" si="54"/>
        <v>0</v>
      </c>
      <c r="P93" s="56" t="e">
        <f t="shared" si="55"/>
        <v>#VALUE!</v>
      </c>
      <c r="Q93" s="110" t="e">
        <f t="shared" si="40"/>
        <v>#VALUE!</v>
      </c>
      <c r="R93" s="56" t="e">
        <f t="shared" si="41"/>
        <v>#VALUE!</v>
      </c>
      <c r="S93" s="112" t="e">
        <f t="shared" si="56"/>
        <v>#VALUE!</v>
      </c>
      <c r="T93" s="72">
        <f t="shared" si="42"/>
        <v>36.305255817856455</v>
      </c>
      <c r="U93" s="111" t="e">
        <f t="shared" si="43"/>
        <v>#VALUE!</v>
      </c>
      <c r="V93" s="110" t="e">
        <f t="shared" si="44"/>
        <v>#VALUE!</v>
      </c>
      <c r="W93" s="56" t="e">
        <f t="shared" si="45"/>
        <v>#VALUE!</v>
      </c>
      <c r="X93" s="72">
        <f t="shared" si="57"/>
        <v>1.0045714285714284</v>
      </c>
    </row>
    <row r="94" spans="1:24" x14ac:dyDescent="0.35">
      <c r="A94" s="63">
        <f t="shared" si="48"/>
        <v>-33</v>
      </c>
      <c r="B94" s="108">
        <f t="shared" si="35"/>
        <v>33.192571428571419</v>
      </c>
      <c r="C94" s="55" t="e">
        <f t="shared" si="46"/>
        <v>#VALUE!</v>
      </c>
      <c r="D94" s="55" t="e">
        <f t="shared" si="36"/>
        <v>#VALUE!</v>
      </c>
      <c r="E94" s="55" t="e">
        <f t="shared" si="49"/>
        <v>#VALUE!</v>
      </c>
      <c r="F94" s="55" t="e">
        <f t="shared" si="50"/>
        <v>#VALUE!</v>
      </c>
      <c r="G94" s="75">
        <f t="shared" si="51"/>
        <v>0.6</v>
      </c>
      <c r="H94" s="56" t="e">
        <f t="shared" si="47"/>
        <v>#VALUE!</v>
      </c>
      <c r="I94" s="75">
        <f t="shared" si="52"/>
        <v>0.75</v>
      </c>
      <c r="J94" s="64">
        <f t="shared" si="53"/>
        <v>2383.2200000000003</v>
      </c>
      <c r="K94" s="56">
        <f t="shared" si="37"/>
        <v>2315.0400000000004</v>
      </c>
      <c r="L94" s="56" t="e">
        <f t="shared" si="38"/>
        <v>#VALUE!</v>
      </c>
      <c r="M94" s="56" t="e">
        <f t="shared" si="39"/>
        <v>#VALUE!</v>
      </c>
      <c r="N94" s="52">
        <v>68.180000000000007</v>
      </c>
      <c r="O94" s="110">
        <f t="shared" si="54"/>
        <v>0</v>
      </c>
      <c r="P94" s="56" t="e">
        <f t="shared" si="55"/>
        <v>#VALUE!</v>
      </c>
      <c r="Q94" s="110" t="e">
        <f t="shared" si="40"/>
        <v>#VALUE!</v>
      </c>
      <c r="R94" s="56" t="e">
        <f t="shared" si="41"/>
        <v>#VALUE!</v>
      </c>
      <c r="S94" s="112" t="e">
        <f t="shared" si="56"/>
        <v>#VALUE!</v>
      </c>
      <c r="T94" s="72">
        <f t="shared" si="42"/>
        <v>36.574466503286146</v>
      </c>
      <c r="U94" s="111" t="e">
        <f t="shared" si="43"/>
        <v>#VALUE!</v>
      </c>
      <c r="V94" s="110" t="e">
        <f t="shared" si="44"/>
        <v>#VALUE!</v>
      </c>
      <c r="W94" s="56" t="e">
        <f t="shared" si="45"/>
        <v>#VALUE!</v>
      </c>
      <c r="X94" s="72">
        <f t="shared" si="57"/>
        <v>1.0045714285714284</v>
      </c>
    </row>
    <row r="95" spans="1:24" x14ac:dyDescent="0.35">
      <c r="A95" s="63">
        <f t="shared" si="48"/>
        <v>-34</v>
      </c>
      <c r="B95" s="108">
        <f t="shared" si="35"/>
        <v>32.047999999999988</v>
      </c>
      <c r="C95" s="55" t="e">
        <f t="shared" si="46"/>
        <v>#VALUE!</v>
      </c>
      <c r="D95" s="55" t="e">
        <f t="shared" si="36"/>
        <v>#VALUE!</v>
      </c>
      <c r="E95" s="55" t="e">
        <f t="shared" si="49"/>
        <v>#VALUE!</v>
      </c>
      <c r="F95" s="55" t="e">
        <f t="shared" si="50"/>
        <v>#VALUE!</v>
      </c>
      <c r="G95" s="75">
        <f t="shared" si="51"/>
        <v>0.6</v>
      </c>
      <c r="H95" s="56" t="e">
        <f t="shared" si="47"/>
        <v>#VALUE!</v>
      </c>
      <c r="I95" s="75">
        <f t="shared" si="52"/>
        <v>0.75</v>
      </c>
      <c r="J95" s="64">
        <f t="shared" si="53"/>
        <v>2315.0400000000004</v>
      </c>
      <c r="K95" s="56">
        <f t="shared" si="37"/>
        <v>2245.8600000000006</v>
      </c>
      <c r="L95" s="56" t="e">
        <f t="shared" si="38"/>
        <v>#VALUE!</v>
      </c>
      <c r="M95" s="56" t="e">
        <f t="shared" si="39"/>
        <v>#VALUE!</v>
      </c>
      <c r="N95" s="52">
        <v>69.180000000000007</v>
      </c>
      <c r="O95" s="110">
        <f t="shared" si="54"/>
        <v>0</v>
      </c>
      <c r="P95" s="56" t="e">
        <f t="shared" si="55"/>
        <v>#VALUE!</v>
      </c>
      <c r="Q95" s="110" t="e">
        <f t="shared" si="40"/>
        <v>#VALUE!</v>
      </c>
      <c r="R95" s="56" t="e">
        <f t="shared" si="41"/>
        <v>#VALUE!</v>
      </c>
      <c r="S95" s="112" t="e">
        <f t="shared" si="56"/>
        <v>#VALUE!</v>
      </c>
      <c r="T95" s="72">
        <f t="shared" si="42"/>
        <v>36.841710058030699</v>
      </c>
      <c r="U95" s="111" t="e">
        <f t="shared" si="43"/>
        <v>#VALUE!</v>
      </c>
      <c r="V95" s="110" t="e">
        <f t="shared" si="44"/>
        <v>#VALUE!</v>
      </c>
      <c r="W95" s="56" t="e">
        <f t="shared" si="45"/>
        <v>#VALUE!</v>
      </c>
      <c r="X95" s="72">
        <f t="shared" si="57"/>
        <v>1.0045714285714284</v>
      </c>
    </row>
    <row r="96" spans="1:24" x14ac:dyDescent="0.35">
      <c r="A96" s="63">
        <f t="shared" si="48"/>
        <v>-35</v>
      </c>
      <c r="B96" s="108">
        <f t="shared" si="35"/>
        <v>30.903428571428563</v>
      </c>
      <c r="C96" s="55" t="e">
        <f t="shared" si="46"/>
        <v>#VALUE!</v>
      </c>
      <c r="D96" s="55" t="e">
        <f t="shared" si="36"/>
        <v>#VALUE!</v>
      </c>
      <c r="E96" s="55" t="e">
        <f t="shared" si="49"/>
        <v>#VALUE!</v>
      </c>
      <c r="F96" s="55" t="e">
        <f t="shared" si="50"/>
        <v>#VALUE!</v>
      </c>
      <c r="G96" s="75">
        <f t="shared" si="51"/>
        <v>0.6</v>
      </c>
      <c r="H96" s="56" t="e">
        <f t="shared" si="47"/>
        <v>#VALUE!</v>
      </c>
      <c r="I96" s="75">
        <f t="shared" si="52"/>
        <v>0.75</v>
      </c>
      <c r="J96" s="64">
        <f t="shared" si="53"/>
        <v>2245.8600000000006</v>
      </c>
      <c r="K96" s="56">
        <f t="shared" si="37"/>
        <v>2175.6800000000007</v>
      </c>
      <c r="L96" s="56" t="e">
        <f t="shared" si="38"/>
        <v>#VALUE!</v>
      </c>
      <c r="M96" s="56" t="e">
        <f t="shared" si="39"/>
        <v>#VALUE!</v>
      </c>
      <c r="N96" s="52">
        <v>70.180000000000007</v>
      </c>
      <c r="O96" s="110">
        <f t="shared" si="54"/>
        <v>0</v>
      </c>
      <c r="P96" s="56" t="e">
        <f t="shared" si="55"/>
        <v>#VALUE!</v>
      </c>
      <c r="Q96" s="110" t="e">
        <f t="shared" si="40"/>
        <v>#VALUE!</v>
      </c>
      <c r="R96" s="56" t="e">
        <f t="shared" si="41"/>
        <v>#VALUE!</v>
      </c>
      <c r="S96" s="112" t="e">
        <f t="shared" si="56"/>
        <v>#VALUE!</v>
      </c>
      <c r="T96" s="72">
        <f t="shared" si="42"/>
        <v>37.107028983738381</v>
      </c>
      <c r="U96" s="111" t="e">
        <f t="shared" si="43"/>
        <v>#VALUE!</v>
      </c>
      <c r="V96" s="110" t="e">
        <f t="shared" si="44"/>
        <v>#VALUE!</v>
      </c>
      <c r="W96" s="56" t="e">
        <f t="shared" si="45"/>
        <v>#VALUE!</v>
      </c>
      <c r="X96" s="72">
        <f t="shared" si="57"/>
        <v>1.0045714285714284</v>
      </c>
    </row>
    <row r="97" spans="1:24" x14ac:dyDescent="0.35">
      <c r="A97" s="63">
        <f t="shared" si="48"/>
        <v>-36</v>
      </c>
      <c r="B97" s="108">
        <f t="shared" si="35"/>
        <v>29.758857142857135</v>
      </c>
      <c r="C97" s="55" t="e">
        <f t="shared" si="46"/>
        <v>#VALUE!</v>
      </c>
      <c r="D97" s="55" t="e">
        <f t="shared" si="36"/>
        <v>#VALUE!</v>
      </c>
      <c r="E97" s="55" t="e">
        <f t="shared" si="49"/>
        <v>#VALUE!</v>
      </c>
      <c r="F97" s="55" t="e">
        <f t="shared" si="50"/>
        <v>#VALUE!</v>
      </c>
      <c r="G97" s="75">
        <f t="shared" si="51"/>
        <v>0.6</v>
      </c>
      <c r="H97" s="56" t="e">
        <f t="shared" si="47"/>
        <v>#VALUE!</v>
      </c>
      <c r="I97" s="75">
        <f t="shared" si="52"/>
        <v>0.75</v>
      </c>
      <c r="J97" s="64">
        <f t="shared" si="53"/>
        <v>2175.6800000000007</v>
      </c>
      <c r="K97" s="56">
        <f t="shared" si="37"/>
        <v>2104.5000000000009</v>
      </c>
      <c r="L97" s="56" t="e">
        <f t="shared" si="38"/>
        <v>#VALUE!</v>
      </c>
      <c r="M97" s="56" t="e">
        <f t="shared" si="39"/>
        <v>#VALUE!</v>
      </c>
      <c r="N97" s="52">
        <v>71.180000000000007</v>
      </c>
      <c r="O97" s="110">
        <f t="shared" si="54"/>
        <v>0</v>
      </c>
      <c r="P97" s="56" t="e">
        <f t="shared" si="55"/>
        <v>#VALUE!</v>
      </c>
      <c r="Q97" s="110" t="e">
        <f t="shared" si="40"/>
        <v>#VALUE!</v>
      </c>
      <c r="R97" s="56" t="e">
        <f t="shared" si="41"/>
        <v>#VALUE!</v>
      </c>
      <c r="S97" s="112" t="e">
        <f t="shared" si="56"/>
        <v>#VALUE!</v>
      </c>
      <c r="T97" s="72">
        <f t="shared" si="42"/>
        <v>37.370464273273356</v>
      </c>
      <c r="U97" s="111" t="e">
        <f t="shared" si="43"/>
        <v>#VALUE!</v>
      </c>
      <c r="V97" s="110" t="e">
        <f t="shared" si="44"/>
        <v>#VALUE!</v>
      </c>
      <c r="W97" s="56" t="e">
        <f t="shared" si="45"/>
        <v>#VALUE!</v>
      </c>
      <c r="X97" s="72">
        <f t="shared" si="57"/>
        <v>1.0045714285714284</v>
      </c>
    </row>
    <row r="98" spans="1:24" x14ac:dyDescent="0.35">
      <c r="A98" s="63">
        <f t="shared" si="48"/>
        <v>-37</v>
      </c>
      <c r="B98" s="108">
        <f t="shared" si="35"/>
        <v>28.614285714285707</v>
      </c>
      <c r="C98" s="55" t="e">
        <f t="shared" si="46"/>
        <v>#VALUE!</v>
      </c>
      <c r="D98" s="55" t="e">
        <f t="shared" si="36"/>
        <v>#VALUE!</v>
      </c>
      <c r="E98" s="55" t="e">
        <f t="shared" si="49"/>
        <v>#VALUE!</v>
      </c>
      <c r="F98" s="55" t="e">
        <f t="shared" si="50"/>
        <v>#VALUE!</v>
      </c>
      <c r="G98" s="75">
        <f t="shared" si="51"/>
        <v>0.6</v>
      </c>
      <c r="H98" s="56" t="e">
        <f t="shared" si="47"/>
        <v>#VALUE!</v>
      </c>
      <c r="I98" s="75">
        <f t="shared" si="52"/>
        <v>0.75</v>
      </c>
      <c r="J98" s="64">
        <f t="shared" si="53"/>
        <v>2104.5000000000009</v>
      </c>
      <c r="K98" s="56">
        <f t="shared" si="37"/>
        <v>2032.3200000000011</v>
      </c>
      <c r="L98" s="56" t="e">
        <f t="shared" si="38"/>
        <v>#VALUE!</v>
      </c>
      <c r="M98" s="56" t="e">
        <f t="shared" si="39"/>
        <v>#VALUE!</v>
      </c>
      <c r="N98" s="52">
        <v>72.180000000000007</v>
      </c>
      <c r="O98" s="110">
        <f t="shared" si="54"/>
        <v>0</v>
      </c>
      <c r="P98" s="56" t="e">
        <f t="shared" si="55"/>
        <v>#VALUE!</v>
      </c>
      <c r="Q98" s="110" t="e">
        <f t="shared" si="40"/>
        <v>#VALUE!</v>
      </c>
      <c r="R98" s="56" t="e">
        <f t="shared" si="41"/>
        <v>#VALUE!</v>
      </c>
      <c r="S98" s="112" t="e">
        <f t="shared" si="56"/>
        <v>#VALUE!</v>
      </c>
      <c r="T98" s="72">
        <f t="shared" si="42"/>
        <v>37.632055484652973</v>
      </c>
      <c r="U98" s="111" t="e">
        <f t="shared" si="43"/>
        <v>#VALUE!</v>
      </c>
      <c r="V98" s="110" t="e">
        <f t="shared" si="44"/>
        <v>#VALUE!</v>
      </c>
      <c r="W98" s="56" t="e">
        <f t="shared" si="45"/>
        <v>#VALUE!</v>
      </c>
      <c r="X98" s="72">
        <f t="shared" si="57"/>
        <v>1.0045714285714284</v>
      </c>
    </row>
    <row r="99" spans="1:24" x14ac:dyDescent="0.35">
      <c r="A99" s="63">
        <f t="shared" si="48"/>
        <v>-38</v>
      </c>
      <c r="B99" s="108">
        <f t="shared" si="35"/>
        <v>27.469714285714279</v>
      </c>
      <c r="C99" s="55" t="e">
        <f t="shared" si="46"/>
        <v>#VALUE!</v>
      </c>
      <c r="D99" s="55" t="e">
        <f t="shared" si="36"/>
        <v>#VALUE!</v>
      </c>
      <c r="E99" s="55" t="e">
        <f t="shared" si="49"/>
        <v>#VALUE!</v>
      </c>
      <c r="F99" s="55" t="e">
        <f t="shared" si="50"/>
        <v>#VALUE!</v>
      </c>
      <c r="G99" s="75">
        <f t="shared" si="51"/>
        <v>0.6</v>
      </c>
      <c r="H99" s="56" t="e">
        <f t="shared" si="47"/>
        <v>#VALUE!</v>
      </c>
      <c r="I99" s="75">
        <f t="shared" si="52"/>
        <v>0.75</v>
      </c>
      <c r="J99" s="64">
        <f t="shared" si="53"/>
        <v>2032.3200000000011</v>
      </c>
      <c r="K99" s="56">
        <f t="shared" si="37"/>
        <v>1959.140000000001</v>
      </c>
      <c r="L99" s="56" t="e">
        <f t="shared" si="38"/>
        <v>#VALUE!</v>
      </c>
      <c r="M99" s="56" t="e">
        <f t="shared" si="39"/>
        <v>#VALUE!</v>
      </c>
      <c r="N99" s="52">
        <v>73.180000000000007</v>
      </c>
      <c r="O99" s="110">
        <f t="shared" si="54"/>
        <v>0</v>
      </c>
      <c r="P99" s="56" t="e">
        <f t="shared" si="55"/>
        <v>#VALUE!</v>
      </c>
      <c r="Q99" s="110" t="e">
        <f t="shared" si="40"/>
        <v>#VALUE!</v>
      </c>
      <c r="R99" s="56" t="e">
        <f t="shared" si="41"/>
        <v>#VALUE!</v>
      </c>
      <c r="S99" s="112" t="e">
        <f t="shared" si="56"/>
        <v>#VALUE!</v>
      </c>
      <c r="T99" s="72">
        <f t="shared" si="42"/>
        <v>37.891840810390832</v>
      </c>
      <c r="U99" s="111" t="e">
        <f t="shared" si="43"/>
        <v>#VALUE!</v>
      </c>
      <c r="V99" s="110" t="e">
        <f t="shared" si="44"/>
        <v>#VALUE!</v>
      </c>
      <c r="W99" s="56" t="e">
        <f t="shared" si="45"/>
        <v>#VALUE!</v>
      </c>
      <c r="X99" s="72">
        <f t="shared" si="57"/>
        <v>1.0045714285714284</v>
      </c>
    </row>
    <row r="100" spans="1:24" x14ac:dyDescent="0.35">
      <c r="A100" s="63">
        <f t="shared" si="48"/>
        <v>-39</v>
      </c>
      <c r="B100" s="108">
        <f t="shared" si="35"/>
        <v>26.325142857142851</v>
      </c>
      <c r="C100" s="55" t="e">
        <f t="shared" si="46"/>
        <v>#VALUE!</v>
      </c>
      <c r="D100" s="55" t="e">
        <f t="shared" si="36"/>
        <v>#VALUE!</v>
      </c>
      <c r="E100" s="55" t="e">
        <f t="shared" si="49"/>
        <v>#VALUE!</v>
      </c>
      <c r="F100" s="55" t="e">
        <f t="shared" si="50"/>
        <v>#VALUE!</v>
      </c>
      <c r="G100" s="75">
        <f t="shared" si="51"/>
        <v>0.6</v>
      </c>
      <c r="H100" s="56" t="e">
        <f t="shared" si="47"/>
        <v>#VALUE!</v>
      </c>
      <c r="I100" s="75">
        <f t="shared" si="52"/>
        <v>0.75</v>
      </c>
      <c r="J100" s="64">
        <f t="shared" si="53"/>
        <v>1959.140000000001</v>
      </c>
      <c r="K100" s="56">
        <f t="shared" si="37"/>
        <v>1884.9600000000009</v>
      </c>
      <c r="L100" s="56" t="e">
        <f t="shared" si="38"/>
        <v>#VALUE!</v>
      </c>
      <c r="M100" s="56" t="e">
        <f t="shared" si="39"/>
        <v>#VALUE!</v>
      </c>
      <c r="N100" s="52">
        <v>74.180000000000007</v>
      </c>
      <c r="O100" s="110">
        <f t="shared" si="54"/>
        <v>0</v>
      </c>
      <c r="P100" s="56" t="e">
        <f t="shared" si="55"/>
        <v>#VALUE!</v>
      </c>
      <c r="Q100" s="110" t="e">
        <f t="shared" si="40"/>
        <v>#VALUE!</v>
      </c>
      <c r="R100" s="56" t="e">
        <f t="shared" si="41"/>
        <v>#VALUE!</v>
      </c>
      <c r="S100" s="112" t="e">
        <f t="shared" si="56"/>
        <v>#VALUE!</v>
      </c>
      <c r="T100" s="72">
        <f t="shared" si="42"/>
        <v>38.149857142589674</v>
      </c>
      <c r="U100" s="111" t="e">
        <f t="shared" si="43"/>
        <v>#VALUE!</v>
      </c>
      <c r="V100" s="110" t="e">
        <f t="shared" si="44"/>
        <v>#VALUE!</v>
      </c>
      <c r="W100" s="56" t="e">
        <f t="shared" si="45"/>
        <v>#VALUE!</v>
      </c>
      <c r="X100" s="72">
        <f t="shared" si="57"/>
        <v>1.0045714285714284</v>
      </c>
    </row>
    <row r="101" spans="1:24" x14ac:dyDescent="0.35">
      <c r="A101" s="63">
        <f t="shared" si="48"/>
        <v>-40</v>
      </c>
      <c r="B101" s="108">
        <f t="shared" si="35"/>
        <v>25.180571428571422</v>
      </c>
      <c r="C101" s="55" t="e">
        <f t="shared" si="46"/>
        <v>#VALUE!</v>
      </c>
      <c r="D101" s="55" t="e">
        <f t="shared" si="36"/>
        <v>#VALUE!</v>
      </c>
      <c r="E101" s="55" t="e">
        <f t="shared" si="49"/>
        <v>#VALUE!</v>
      </c>
      <c r="F101" s="55" t="e">
        <f t="shared" si="50"/>
        <v>#VALUE!</v>
      </c>
      <c r="G101" s="75">
        <f t="shared" si="51"/>
        <v>0.6</v>
      </c>
      <c r="H101" s="56" t="e">
        <f t="shared" si="47"/>
        <v>#VALUE!</v>
      </c>
      <c r="I101" s="75">
        <f t="shared" si="52"/>
        <v>0.75</v>
      </c>
      <c r="J101" s="64">
        <f t="shared" si="53"/>
        <v>1884.9600000000009</v>
      </c>
      <c r="K101" s="56">
        <f t="shared" si="37"/>
        <v>1809.7800000000009</v>
      </c>
      <c r="L101" s="56" t="e">
        <f t="shared" si="38"/>
        <v>#VALUE!</v>
      </c>
      <c r="M101" s="56" t="e">
        <f t="shared" si="39"/>
        <v>#VALUE!</v>
      </c>
      <c r="N101" s="52">
        <v>75.180000000000007</v>
      </c>
      <c r="O101" s="110">
        <f t="shared" si="54"/>
        <v>0</v>
      </c>
      <c r="P101" s="56" t="e">
        <f t="shared" si="55"/>
        <v>#VALUE!</v>
      </c>
      <c r="Q101" s="110" t="e">
        <f t="shared" si="40"/>
        <v>#VALUE!</v>
      </c>
      <c r="R101" s="56" t="e">
        <f t="shared" si="41"/>
        <v>#VALUE!</v>
      </c>
      <c r="S101" s="112" t="e">
        <f t="shared" si="56"/>
        <v>#VALUE!</v>
      </c>
      <c r="T101" s="72">
        <f t="shared" si="42"/>
        <v>38.406140134098351</v>
      </c>
      <c r="U101" s="111" t="e">
        <f t="shared" si="43"/>
        <v>#VALUE!</v>
      </c>
      <c r="V101" s="110" t="e">
        <f t="shared" si="44"/>
        <v>#VALUE!</v>
      </c>
      <c r="W101" s="56" t="e">
        <f t="shared" si="45"/>
        <v>#VALUE!</v>
      </c>
      <c r="X101" s="72">
        <f t="shared" si="57"/>
        <v>1.0045714285714284</v>
      </c>
    </row>
    <row r="102" spans="1:24" x14ac:dyDescent="0.35">
      <c r="A102" s="63">
        <f t="shared" si="48"/>
        <v>-41</v>
      </c>
      <c r="B102" s="108">
        <f t="shared" si="35"/>
        <v>24.035999999999994</v>
      </c>
      <c r="C102" s="55" t="e">
        <f t="shared" si="46"/>
        <v>#VALUE!</v>
      </c>
      <c r="D102" s="55" t="e">
        <f t="shared" si="36"/>
        <v>#VALUE!</v>
      </c>
      <c r="E102" s="55" t="e">
        <f t="shared" si="49"/>
        <v>#VALUE!</v>
      </c>
      <c r="F102" s="55" t="e">
        <f t="shared" si="50"/>
        <v>#VALUE!</v>
      </c>
      <c r="G102" s="75">
        <f t="shared" si="51"/>
        <v>0.6</v>
      </c>
      <c r="H102" s="56" t="e">
        <f t="shared" si="47"/>
        <v>#VALUE!</v>
      </c>
      <c r="I102" s="75">
        <f t="shared" si="52"/>
        <v>0.75</v>
      </c>
      <c r="J102" s="64">
        <f t="shared" si="53"/>
        <v>1809.7800000000009</v>
      </c>
      <c r="K102" s="56">
        <f t="shared" si="37"/>
        <v>1733.6000000000008</v>
      </c>
      <c r="L102" s="56" t="e">
        <f t="shared" si="38"/>
        <v>#VALUE!</v>
      </c>
      <c r="M102" s="56" t="e">
        <f t="shared" si="39"/>
        <v>#VALUE!</v>
      </c>
      <c r="N102" s="52">
        <v>76.180000000000007</v>
      </c>
      <c r="O102" s="110">
        <f t="shared" si="54"/>
        <v>0</v>
      </c>
      <c r="P102" s="56" t="e">
        <f t="shared" si="55"/>
        <v>#VALUE!</v>
      </c>
      <c r="Q102" s="110" t="e">
        <f t="shared" si="40"/>
        <v>#VALUE!</v>
      </c>
      <c r="R102" s="56" t="e">
        <f t="shared" si="41"/>
        <v>#VALUE!</v>
      </c>
      <c r="S102" s="112" t="e">
        <f t="shared" si="56"/>
        <v>#VALUE!</v>
      </c>
      <c r="T102" s="72">
        <f t="shared" si="42"/>
        <v>38.660724256019833</v>
      </c>
      <c r="U102" s="111" t="e">
        <f t="shared" si="43"/>
        <v>#VALUE!</v>
      </c>
      <c r="V102" s="110" t="e">
        <f t="shared" si="44"/>
        <v>#VALUE!</v>
      </c>
      <c r="W102" s="56" t="e">
        <f t="shared" si="45"/>
        <v>#VALUE!</v>
      </c>
      <c r="X102" s="72">
        <f t="shared" si="57"/>
        <v>1.0045714285714284</v>
      </c>
    </row>
    <row r="103" spans="1:24" x14ac:dyDescent="0.35">
      <c r="A103" s="63">
        <f t="shared" si="48"/>
        <v>-42</v>
      </c>
      <c r="B103" s="108">
        <f t="shared" si="35"/>
        <v>22.891428571428566</v>
      </c>
      <c r="C103" s="55" t="e">
        <f t="shared" si="46"/>
        <v>#VALUE!</v>
      </c>
      <c r="D103" s="55" t="e">
        <f t="shared" si="36"/>
        <v>#VALUE!</v>
      </c>
      <c r="E103" s="55" t="e">
        <f t="shared" si="49"/>
        <v>#VALUE!</v>
      </c>
      <c r="F103" s="55" t="e">
        <f t="shared" si="50"/>
        <v>#VALUE!</v>
      </c>
      <c r="G103" s="75">
        <f t="shared" si="51"/>
        <v>0.6</v>
      </c>
      <c r="H103" s="56" t="e">
        <f t="shared" si="47"/>
        <v>#VALUE!</v>
      </c>
      <c r="I103" s="75">
        <f t="shared" si="52"/>
        <v>0.75</v>
      </c>
      <c r="J103" s="64">
        <f t="shared" si="53"/>
        <v>1733.6000000000008</v>
      </c>
      <c r="K103" s="56">
        <f t="shared" si="37"/>
        <v>1656.4200000000008</v>
      </c>
      <c r="L103" s="56" t="e">
        <f t="shared" si="38"/>
        <v>#VALUE!</v>
      </c>
      <c r="M103" s="56" t="e">
        <f t="shared" si="39"/>
        <v>#VALUE!</v>
      </c>
      <c r="N103" s="52">
        <v>77.180000000000007</v>
      </c>
      <c r="O103" s="110">
        <f t="shared" si="54"/>
        <v>0</v>
      </c>
      <c r="P103" s="56" t="e">
        <f t="shared" si="55"/>
        <v>#VALUE!</v>
      </c>
      <c r="Q103" s="110" t="e">
        <f t="shared" si="40"/>
        <v>#VALUE!</v>
      </c>
      <c r="R103" s="56" t="e">
        <f t="shared" si="41"/>
        <v>#VALUE!</v>
      </c>
      <c r="S103" s="112" t="e">
        <f t="shared" si="56"/>
        <v>#VALUE!</v>
      </c>
      <c r="T103" s="72">
        <f t="shared" si="42"/>
        <v>38.913642851832826</v>
      </c>
      <c r="U103" s="111" t="e">
        <f t="shared" si="43"/>
        <v>#VALUE!</v>
      </c>
      <c r="V103" s="110" t="e">
        <f t="shared" si="44"/>
        <v>#VALUE!</v>
      </c>
      <c r="W103" s="56" t="e">
        <f t="shared" si="45"/>
        <v>#VALUE!</v>
      </c>
      <c r="X103" s="72">
        <f t="shared" si="57"/>
        <v>1.0045714285714284</v>
      </c>
    </row>
    <row r="104" spans="1:24" x14ac:dyDescent="0.35">
      <c r="A104" s="63">
        <f t="shared" si="48"/>
        <v>-43</v>
      </c>
      <c r="B104" s="108">
        <f t="shared" si="35"/>
        <v>21.746857142857138</v>
      </c>
      <c r="C104" s="55" t="e">
        <f t="shared" si="46"/>
        <v>#VALUE!</v>
      </c>
      <c r="D104" s="55" t="e">
        <f t="shared" si="36"/>
        <v>#VALUE!</v>
      </c>
      <c r="E104" s="55" t="e">
        <f t="shared" si="49"/>
        <v>#VALUE!</v>
      </c>
      <c r="F104" s="55" t="e">
        <f t="shared" si="50"/>
        <v>#VALUE!</v>
      </c>
      <c r="G104" s="75">
        <f t="shared" si="51"/>
        <v>0.6</v>
      </c>
      <c r="H104" s="56" t="e">
        <f t="shared" si="47"/>
        <v>#VALUE!</v>
      </c>
      <c r="I104" s="75">
        <f t="shared" si="52"/>
        <v>0.75</v>
      </c>
      <c r="J104" s="64">
        <f t="shared" si="53"/>
        <v>1656.4200000000008</v>
      </c>
      <c r="K104" s="56">
        <f t="shared" si="37"/>
        <v>1578.2400000000007</v>
      </c>
      <c r="L104" s="56" t="e">
        <f t="shared" si="38"/>
        <v>#VALUE!</v>
      </c>
      <c r="M104" s="56" t="e">
        <f t="shared" si="39"/>
        <v>#VALUE!</v>
      </c>
      <c r="N104" s="52">
        <v>78.180000000000007</v>
      </c>
      <c r="O104" s="110">
        <f t="shared" si="54"/>
        <v>0</v>
      </c>
      <c r="P104" s="56" t="e">
        <f t="shared" si="55"/>
        <v>#VALUE!</v>
      </c>
      <c r="Q104" s="110" t="e">
        <f t="shared" si="40"/>
        <v>#VALUE!</v>
      </c>
      <c r="R104" s="56" t="e">
        <f t="shared" si="41"/>
        <v>#VALUE!</v>
      </c>
      <c r="S104" s="112" t="e">
        <f t="shared" si="56"/>
        <v>#VALUE!</v>
      </c>
      <c r="T104" s="72">
        <f t="shared" si="42"/>
        <v>39.164928188367718</v>
      </c>
      <c r="U104" s="111" t="e">
        <f t="shared" si="43"/>
        <v>#VALUE!</v>
      </c>
      <c r="V104" s="110" t="e">
        <f t="shared" si="44"/>
        <v>#VALUE!</v>
      </c>
      <c r="W104" s="56" t="e">
        <f t="shared" si="45"/>
        <v>#VALUE!</v>
      </c>
      <c r="X104" s="72">
        <f t="shared" si="57"/>
        <v>1.0045714285714284</v>
      </c>
    </row>
    <row r="105" spans="1:24" x14ac:dyDescent="0.35">
      <c r="A105" s="63">
        <f t="shared" si="48"/>
        <v>-44</v>
      </c>
      <c r="B105" s="108">
        <f t="shared" si="35"/>
        <v>20.60228571428571</v>
      </c>
      <c r="C105" s="55" t="e">
        <f t="shared" si="46"/>
        <v>#VALUE!</v>
      </c>
      <c r="D105" s="55" t="e">
        <f t="shared" si="36"/>
        <v>#VALUE!</v>
      </c>
      <c r="E105" s="55" t="e">
        <f t="shared" si="49"/>
        <v>#VALUE!</v>
      </c>
      <c r="F105" s="55" t="e">
        <f t="shared" si="50"/>
        <v>#VALUE!</v>
      </c>
      <c r="G105" s="75">
        <f t="shared" si="51"/>
        <v>0.6</v>
      </c>
      <c r="H105" s="56" t="e">
        <f t="shared" si="47"/>
        <v>#VALUE!</v>
      </c>
      <c r="I105" s="75">
        <f t="shared" si="52"/>
        <v>0.75</v>
      </c>
      <c r="J105" s="64">
        <f t="shared" si="53"/>
        <v>1578.2400000000007</v>
      </c>
      <c r="K105" s="56">
        <f t="shared" si="37"/>
        <v>1499.0600000000006</v>
      </c>
      <c r="L105" s="56" t="e">
        <f t="shared" si="38"/>
        <v>#VALUE!</v>
      </c>
      <c r="M105" s="56" t="e">
        <f t="shared" si="39"/>
        <v>#VALUE!</v>
      </c>
      <c r="N105" s="52">
        <v>79.180000000000007</v>
      </c>
      <c r="O105" s="110">
        <f t="shared" si="54"/>
        <v>0</v>
      </c>
      <c r="P105" s="56" t="e">
        <f t="shared" si="55"/>
        <v>#VALUE!</v>
      </c>
      <c r="Q105" s="110" t="e">
        <f t="shared" si="40"/>
        <v>#VALUE!</v>
      </c>
      <c r="R105" s="56" t="e">
        <f t="shared" si="41"/>
        <v>#VALUE!</v>
      </c>
      <c r="S105" s="112" t="e">
        <f t="shared" si="56"/>
        <v>#VALUE!</v>
      </c>
      <c r="T105" s="72">
        <f t="shared" si="42"/>
        <v>39.414611503857301</v>
      </c>
      <c r="U105" s="111" t="e">
        <f t="shared" si="43"/>
        <v>#VALUE!</v>
      </c>
      <c r="V105" s="110" t="e">
        <f t="shared" si="44"/>
        <v>#VALUE!</v>
      </c>
      <c r="W105" s="56" t="e">
        <f t="shared" si="45"/>
        <v>#VALUE!</v>
      </c>
      <c r="X105" s="72">
        <f t="shared" si="57"/>
        <v>1.0045714285714284</v>
      </c>
    </row>
    <row r="106" spans="1:24" x14ac:dyDescent="0.35">
      <c r="A106" s="63">
        <f t="shared" si="48"/>
        <v>-45</v>
      </c>
      <c r="B106" s="108">
        <f t="shared" si="35"/>
        <v>19.457714285714282</v>
      </c>
      <c r="C106" s="55" t="e">
        <f t="shared" si="46"/>
        <v>#VALUE!</v>
      </c>
      <c r="D106" s="55" t="e">
        <f t="shared" si="36"/>
        <v>#VALUE!</v>
      </c>
      <c r="E106" s="55" t="e">
        <f t="shared" si="49"/>
        <v>#VALUE!</v>
      </c>
      <c r="F106" s="55" t="e">
        <f t="shared" si="50"/>
        <v>#VALUE!</v>
      </c>
      <c r="G106" s="75">
        <f t="shared" si="51"/>
        <v>0.6</v>
      </c>
      <c r="H106" s="56" t="e">
        <f t="shared" si="47"/>
        <v>#VALUE!</v>
      </c>
      <c r="I106" s="75">
        <f t="shared" si="52"/>
        <v>0.75</v>
      </c>
      <c r="J106" s="64">
        <f t="shared" si="53"/>
        <v>1499.0600000000006</v>
      </c>
      <c r="K106" s="56">
        <f t="shared" si="37"/>
        <v>1418.8800000000006</v>
      </c>
      <c r="L106" s="56" t="e">
        <f t="shared" si="38"/>
        <v>#VALUE!</v>
      </c>
      <c r="M106" s="56" t="e">
        <f t="shared" si="39"/>
        <v>#VALUE!</v>
      </c>
      <c r="N106" s="52">
        <v>80.180000000000007</v>
      </c>
      <c r="O106" s="110">
        <f t="shared" si="54"/>
        <v>0</v>
      </c>
      <c r="P106" s="56" t="e">
        <f t="shared" si="55"/>
        <v>#VALUE!</v>
      </c>
      <c r="Q106" s="110" t="e">
        <f t="shared" si="40"/>
        <v>#VALUE!</v>
      </c>
      <c r="R106" s="56" t="e">
        <f t="shared" si="41"/>
        <v>#VALUE!</v>
      </c>
      <c r="S106" s="112" t="e">
        <f t="shared" si="56"/>
        <v>#VALUE!</v>
      </c>
      <c r="T106" s="72">
        <f t="shared" si="42"/>
        <v>39.662723053265019</v>
      </c>
      <c r="U106" s="111" t="e">
        <f t="shared" si="43"/>
        <v>#VALUE!</v>
      </c>
      <c r="V106" s="110" t="e">
        <f t="shared" si="44"/>
        <v>#VALUE!</v>
      </c>
      <c r="W106" s="56" t="e">
        <f t="shared" si="45"/>
        <v>#VALUE!</v>
      </c>
      <c r="X106" s="72">
        <f t="shared" si="57"/>
        <v>1.0045714285714284</v>
      </c>
    </row>
    <row r="107" spans="1:24" x14ac:dyDescent="0.35">
      <c r="A107" s="63">
        <f t="shared" si="48"/>
        <v>-46</v>
      </c>
      <c r="B107" s="108">
        <f t="shared" si="35"/>
        <v>18.313142857142854</v>
      </c>
      <c r="C107" s="55" t="e">
        <f t="shared" si="46"/>
        <v>#VALUE!</v>
      </c>
      <c r="D107" s="55" t="e">
        <f t="shared" si="36"/>
        <v>#VALUE!</v>
      </c>
      <c r="E107" s="55" t="e">
        <f t="shared" si="49"/>
        <v>#VALUE!</v>
      </c>
      <c r="F107" s="55" t="e">
        <f t="shared" si="50"/>
        <v>#VALUE!</v>
      </c>
      <c r="G107" s="75">
        <f t="shared" si="51"/>
        <v>0.6</v>
      </c>
      <c r="H107" s="56" t="e">
        <f t="shared" si="47"/>
        <v>#VALUE!</v>
      </c>
      <c r="I107" s="75">
        <f t="shared" si="52"/>
        <v>0.75</v>
      </c>
      <c r="J107" s="64">
        <f t="shared" si="53"/>
        <v>1418.8800000000006</v>
      </c>
      <c r="K107" s="56">
        <f t="shared" si="37"/>
        <v>1337.7000000000005</v>
      </c>
      <c r="L107" s="56" t="e">
        <f t="shared" si="38"/>
        <v>#VALUE!</v>
      </c>
      <c r="M107" s="56" t="e">
        <f t="shared" si="39"/>
        <v>#VALUE!</v>
      </c>
      <c r="N107" s="52">
        <v>81.180000000000007</v>
      </c>
      <c r="O107" s="110">
        <f t="shared" si="54"/>
        <v>0</v>
      </c>
      <c r="P107" s="56" t="e">
        <f t="shared" si="55"/>
        <v>#VALUE!</v>
      </c>
      <c r="Q107" s="110" t="e">
        <f t="shared" si="40"/>
        <v>#VALUE!</v>
      </c>
      <c r="R107" s="56" t="e">
        <f t="shared" si="41"/>
        <v>#VALUE!</v>
      </c>
      <c r="S107" s="112" t="e">
        <f t="shared" si="56"/>
        <v>#VALUE!</v>
      </c>
      <c r="T107" s="72">
        <f t="shared" si="42"/>
        <v>39.909292151076798</v>
      </c>
      <c r="U107" s="111" t="e">
        <f t="shared" si="43"/>
        <v>#VALUE!</v>
      </c>
      <c r="V107" s="110" t="e">
        <f t="shared" si="44"/>
        <v>#VALUE!</v>
      </c>
      <c r="W107" s="56" t="e">
        <f t="shared" si="45"/>
        <v>#VALUE!</v>
      </c>
      <c r="X107" s="72">
        <f t="shared" si="57"/>
        <v>1.0045714285714284</v>
      </c>
    </row>
    <row r="108" spans="1:24" x14ac:dyDescent="0.35">
      <c r="A108" s="63">
        <f t="shared" si="48"/>
        <v>-47</v>
      </c>
      <c r="B108" s="108">
        <f t="shared" si="35"/>
        <v>17.168571428571425</v>
      </c>
      <c r="C108" s="55" t="e">
        <f t="shared" si="46"/>
        <v>#VALUE!</v>
      </c>
      <c r="D108" s="55" t="e">
        <f t="shared" si="36"/>
        <v>#VALUE!</v>
      </c>
      <c r="E108" s="55" t="e">
        <f t="shared" si="49"/>
        <v>#VALUE!</v>
      </c>
      <c r="F108" s="55" t="e">
        <f t="shared" si="50"/>
        <v>#VALUE!</v>
      </c>
      <c r="G108" s="75">
        <f t="shared" si="51"/>
        <v>0.6</v>
      </c>
      <c r="H108" s="56" t="e">
        <f t="shared" si="47"/>
        <v>#VALUE!</v>
      </c>
      <c r="I108" s="75">
        <f t="shared" si="52"/>
        <v>0.75</v>
      </c>
      <c r="J108" s="64">
        <f t="shared" si="53"/>
        <v>1337.7000000000005</v>
      </c>
      <c r="K108" s="56">
        <f t="shared" si="37"/>
        <v>1255.5200000000004</v>
      </c>
      <c r="L108" s="56" t="e">
        <f t="shared" si="38"/>
        <v>#VALUE!</v>
      </c>
      <c r="M108" s="56" t="e">
        <f t="shared" si="39"/>
        <v>#VALUE!</v>
      </c>
      <c r="N108" s="52">
        <v>82.18</v>
      </c>
      <c r="O108" s="110">
        <f t="shared" si="54"/>
        <v>0</v>
      </c>
      <c r="P108" s="56" t="e">
        <f t="shared" si="55"/>
        <v>#VALUE!</v>
      </c>
      <c r="Q108" s="110" t="e">
        <f t="shared" si="40"/>
        <v>#VALUE!</v>
      </c>
      <c r="R108" s="56" t="e">
        <f t="shared" si="41"/>
        <v>#VALUE!</v>
      </c>
      <c r="S108" s="112" t="e">
        <f t="shared" si="56"/>
        <v>#VALUE!</v>
      </c>
      <c r="T108" s="72">
        <f t="shared" si="42"/>
        <v>40.154347211727902</v>
      </c>
      <c r="U108" s="111" t="e">
        <f t="shared" si="43"/>
        <v>#VALUE!</v>
      </c>
      <c r="V108" s="110" t="e">
        <f t="shared" si="44"/>
        <v>#VALUE!</v>
      </c>
      <c r="W108" s="56" t="e">
        <f t="shared" si="45"/>
        <v>#VALUE!</v>
      </c>
      <c r="X108" s="72">
        <f t="shared" si="57"/>
        <v>1.0045714285714284</v>
      </c>
    </row>
    <row r="109" spans="1:24" x14ac:dyDescent="0.35">
      <c r="A109" s="63">
        <f t="shared" si="48"/>
        <v>-48</v>
      </c>
      <c r="B109" s="108">
        <f t="shared" si="35"/>
        <v>16.023999999999997</v>
      </c>
      <c r="C109" s="55" t="e">
        <f t="shared" si="46"/>
        <v>#VALUE!</v>
      </c>
      <c r="D109" s="55" t="e">
        <f t="shared" si="36"/>
        <v>#VALUE!</v>
      </c>
      <c r="E109" s="55" t="e">
        <f t="shared" si="49"/>
        <v>#VALUE!</v>
      </c>
      <c r="F109" s="55" t="e">
        <f t="shared" si="50"/>
        <v>#VALUE!</v>
      </c>
      <c r="G109" s="75">
        <f t="shared" si="51"/>
        <v>0.6</v>
      </c>
      <c r="H109" s="56" t="e">
        <f t="shared" si="47"/>
        <v>#VALUE!</v>
      </c>
      <c r="I109" s="75">
        <f t="shared" si="52"/>
        <v>0.75</v>
      </c>
      <c r="J109" s="64">
        <f t="shared" si="53"/>
        <v>1255.5200000000004</v>
      </c>
      <c r="K109" s="56">
        <f t="shared" si="37"/>
        <v>1172.3400000000004</v>
      </c>
      <c r="L109" s="56" t="e">
        <f t="shared" si="38"/>
        <v>#VALUE!</v>
      </c>
      <c r="M109" s="56" t="e">
        <f t="shared" si="39"/>
        <v>#VALUE!</v>
      </c>
      <c r="N109" s="52">
        <v>83.18</v>
      </c>
      <c r="O109" s="110">
        <f t="shared" si="54"/>
        <v>0</v>
      </c>
      <c r="P109" s="56" t="e">
        <f t="shared" si="55"/>
        <v>#VALUE!</v>
      </c>
      <c r="Q109" s="110" t="e">
        <f t="shared" si="40"/>
        <v>#VALUE!</v>
      </c>
      <c r="R109" s="56" t="e">
        <f t="shared" si="41"/>
        <v>#VALUE!</v>
      </c>
      <c r="S109" s="112" t="e">
        <f t="shared" si="56"/>
        <v>#VALUE!</v>
      </c>
      <c r="T109" s="72">
        <f t="shared" si="42"/>
        <v>40.397915787822527</v>
      </c>
      <c r="U109" s="111" t="e">
        <f t="shared" si="43"/>
        <v>#VALUE!</v>
      </c>
      <c r="V109" s="110" t="e">
        <f t="shared" si="44"/>
        <v>#VALUE!</v>
      </c>
      <c r="W109" s="56" t="e">
        <f t="shared" si="45"/>
        <v>#VALUE!</v>
      </c>
      <c r="X109" s="72">
        <f t="shared" si="57"/>
        <v>1.0045714285714284</v>
      </c>
    </row>
    <row r="110" spans="1:24" x14ac:dyDescent="0.35">
      <c r="A110" s="63">
        <f t="shared" si="48"/>
        <v>-49</v>
      </c>
      <c r="B110" s="108">
        <f t="shared" si="35"/>
        <v>14.879428571428569</v>
      </c>
      <c r="C110" s="55" t="e">
        <f t="shared" si="46"/>
        <v>#VALUE!</v>
      </c>
      <c r="D110" s="55" t="e">
        <f t="shared" si="36"/>
        <v>#VALUE!</v>
      </c>
      <c r="E110" s="55" t="e">
        <f t="shared" si="49"/>
        <v>#VALUE!</v>
      </c>
      <c r="F110" s="55" t="e">
        <f t="shared" si="50"/>
        <v>#VALUE!</v>
      </c>
      <c r="G110" s="75">
        <f t="shared" si="51"/>
        <v>0.6</v>
      </c>
      <c r="H110" s="56" t="e">
        <f t="shared" si="47"/>
        <v>#VALUE!</v>
      </c>
      <c r="I110" s="75">
        <f t="shared" si="52"/>
        <v>0.75</v>
      </c>
      <c r="J110" s="64">
        <f t="shared" si="53"/>
        <v>1172.3400000000004</v>
      </c>
      <c r="K110" s="56">
        <f t="shared" si="37"/>
        <v>1088.1600000000003</v>
      </c>
      <c r="L110" s="56" t="e">
        <f t="shared" si="38"/>
        <v>#VALUE!</v>
      </c>
      <c r="M110" s="56" t="e">
        <f t="shared" si="39"/>
        <v>#VALUE!</v>
      </c>
      <c r="N110" s="52">
        <v>84.18</v>
      </c>
      <c r="O110" s="110">
        <f t="shared" si="54"/>
        <v>0</v>
      </c>
      <c r="P110" s="56" t="e">
        <f t="shared" si="55"/>
        <v>#VALUE!</v>
      </c>
      <c r="Q110" s="110" t="e">
        <f t="shared" si="40"/>
        <v>#VALUE!</v>
      </c>
      <c r="R110" s="56" t="e">
        <f t="shared" si="41"/>
        <v>#VALUE!</v>
      </c>
      <c r="S110" s="112" t="e">
        <f t="shared" si="56"/>
        <v>#VALUE!</v>
      </c>
      <c r="T110" s="72">
        <f t="shared" si="42"/>
        <v>40.640024606291767</v>
      </c>
      <c r="U110" s="111" t="e">
        <f t="shared" si="43"/>
        <v>#VALUE!</v>
      </c>
      <c r="V110" s="110" t="e">
        <f t="shared" si="44"/>
        <v>#VALUE!</v>
      </c>
      <c r="W110" s="56" t="e">
        <f t="shared" si="45"/>
        <v>#VALUE!</v>
      </c>
      <c r="X110" s="72">
        <f t="shared" si="57"/>
        <v>1.0045714285714284</v>
      </c>
    </row>
    <row r="111" spans="1:24" x14ac:dyDescent="0.35">
      <c r="A111" s="63">
        <f t="shared" si="48"/>
        <v>-50</v>
      </c>
      <c r="B111" s="108">
        <f t="shared" si="35"/>
        <v>13.734857142857141</v>
      </c>
      <c r="C111" s="55" t="e">
        <f t="shared" si="46"/>
        <v>#VALUE!</v>
      </c>
      <c r="D111" s="55" t="e">
        <f t="shared" si="36"/>
        <v>#VALUE!</v>
      </c>
      <c r="E111" s="55" t="e">
        <f t="shared" si="49"/>
        <v>#VALUE!</v>
      </c>
      <c r="F111" s="55" t="e">
        <f t="shared" si="50"/>
        <v>#VALUE!</v>
      </c>
      <c r="G111" s="75">
        <f t="shared" si="51"/>
        <v>0.6</v>
      </c>
      <c r="H111" s="56" t="e">
        <f t="shared" si="47"/>
        <v>#VALUE!</v>
      </c>
      <c r="I111" s="75">
        <f t="shared" si="52"/>
        <v>0.75</v>
      </c>
      <c r="J111" s="64">
        <f t="shared" si="53"/>
        <v>1088.1600000000003</v>
      </c>
      <c r="K111" s="56">
        <f t="shared" si="37"/>
        <v>1002.9800000000002</v>
      </c>
      <c r="L111" s="56" t="e">
        <f t="shared" si="38"/>
        <v>#VALUE!</v>
      </c>
      <c r="M111" s="56" t="e">
        <f t="shared" si="39"/>
        <v>#VALUE!</v>
      </c>
      <c r="N111" s="52">
        <v>85.18</v>
      </c>
      <c r="O111" s="110">
        <f t="shared" si="54"/>
        <v>0</v>
      </c>
      <c r="P111" s="56" t="e">
        <f t="shared" si="55"/>
        <v>#VALUE!</v>
      </c>
      <c r="Q111" s="110" t="e">
        <f t="shared" si="40"/>
        <v>#VALUE!</v>
      </c>
      <c r="R111" s="56" t="e">
        <f t="shared" si="41"/>
        <v>#VALUE!</v>
      </c>
      <c r="S111" s="112" t="e">
        <f t="shared" si="56"/>
        <v>#VALUE!</v>
      </c>
      <c r="T111" s="72">
        <f t="shared" si="42"/>
        <v>40.880699602624226</v>
      </c>
      <c r="U111" s="111" t="e">
        <f t="shared" si="43"/>
        <v>#VALUE!</v>
      </c>
      <c r="V111" s="110" t="e">
        <f t="shared" si="44"/>
        <v>#VALUE!</v>
      </c>
      <c r="W111" s="56" t="e">
        <f t="shared" si="45"/>
        <v>#VALUE!</v>
      </c>
      <c r="X111" s="72">
        <f t="shared" si="57"/>
        <v>1.0045714285714284</v>
      </c>
    </row>
    <row r="112" spans="1:24" x14ac:dyDescent="0.35">
      <c r="A112" s="63">
        <f t="shared" si="48"/>
        <v>-51</v>
      </c>
      <c r="B112" s="108">
        <f t="shared" si="35"/>
        <v>12.590285714285713</v>
      </c>
      <c r="C112" s="55" t="e">
        <f t="shared" si="46"/>
        <v>#VALUE!</v>
      </c>
      <c r="D112" s="55" t="e">
        <f t="shared" si="36"/>
        <v>#VALUE!</v>
      </c>
      <c r="E112" s="55" t="e">
        <f t="shared" si="49"/>
        <v>#VALUE!</v>
      </c>
      <c r="F112" s="55" t="e">
        <f t="shared" si="50"/>
        <v>#VALUE!</v>
      </c>
      <c r="G112" s="75">
        <f t="shared" si="51"/>
        <v>0.6</v>
      </c>
      <c r="H112" s="56" t="e">
        <f t="shared" si="47"/>
        <v>#VALUE!</v>
      </c>
      <c r="I112" s="75">
        <f t="shared" si="52"/>
        <v>0.75</v>
      </c>
      <c r="J112" s="64">
        <f t="shared" si="53"/>
        <v>1002.9800000000002</v>
      </c>
      <c r="K112" s="56">
        <f t="shared" si="37"/>
        <v>916.80000000000018</v>
      </c>
      <c r="L112" s="56" t="e">
        <f t="shared" si="38"/>
        <v>#VALUE!</v>
      </c>
      <c r="M112" s="56" t="e">
        <f t="shared" si="39"/>
        <v>#VALUE!</v>
      </c>
      <c r="N112" s="52">
        <v>86.18</v>
      </c>
      <c r="O112" s="110">
        <f t="shared" si="54"/>
        <v>0</v>
      </c>
      <c r="P112" s="56" t="e">
        <f t="shared" si="55"/>
        <v>#VALUE!</v>
      </c>
      <c r="Q112" s="110" t="e">
        <f t="shared" si="40"/>
        <v>#VALUE!</v>
      </c>
      <c r="R112" s="56" t="e">
        <f t="shared" si="41"/>
        <v>#VALUE!</v>
      </c>
      <c r="S112" s="112" t="e">
        <f t="shared" si="56"/>
        <v>#VALUE!</v>
      </c>
      <c r="T112" s="72">
        <f t="shared" si="42"/>
        <v>41.119965953293303</v>
      </c>
      <c r="U112" s="111" t="e">
        <f t="shared" si="43"/>
        <v>#VALUE!</v>
      </c>
      <c r="V112" s="110" t="e">
        <f t="shared" si="44"/>
        <v>#VALUE!</v>
      </c>
      <c r="W112" s="56" t="e">
        <f t="shared" si="45"/>
        <v>#VALUE!</v>
      </c>
      <c r="X112" s="72">
        <f t="shared" si="57"/>
        <v>1.0045714285714284</v>
      </c>
    </row>
    <row r="113" spans="1:24" x14ac:dyDescent="0.35">
      <c r="A113" s="63">
        <f t="shared" si="48"/>
        <v>-52</v>
      </c>
      <c r="B113" s="108">
        <f t="shared" si="35"/>
        <v>11.445714285714285</v>
      </c>
      <c r="C113" s="55" t="e">
        <f t="shared" si="46"/>
        <v>#VALUE!</v>
      </c>
      <c r="D113" s="55" t="e">
        <f t="shared" si="36"/>
        <v>#VALUE!</v>
      </c>
      <c r="E113" s="55" t="e">
        <f t="shared" si="49"/>
        <v>#VALUE!</v>
      </c>
      <c r="F113" s="55" t="e">
        <f t="shared" si="50"/>
        <v>#VALUE!</v>
      </c>
      <c r="G113" s="75">
        <f t="shared" si="51"/>
        <v>0.6</v>
      </c>
      <c r="H113" s="56" t="e">
        <f t="shared" si="47"/>
        <v>#VALUE!</v>
      </c>
      <c r="I113" s="75">
        <f t="shared" si="52"/>
        <v>0.75</v>
      </c>
      <c r="J113" s="64">
        <f t="shared" si="53"/>
        <v>916.80000000000018</v>
      </c>
      <c r="K113" s="56">
        <f t="shared" si="37"/>
        <v>829.62000000000012</v>
      </c>
      <c r="L113" s="56" t="e">
        <f t="shared" si="38"/>
        <v>#VALUE!</v>
      </c>
      <c r="M113" s="56" t="e">
        <f t="shared" si="39"/>
        <v>#VALUE!</v>
      </c>
      <c r="N113" s="52">
        <v>87.18</v>
      </c>
      <c r="O113" s="110">
        <f t="shared" si="54"/>
        <v>0</v>
      </c>
      <c r="P113" s="56" t="e">
        <f t="shared" si="55"/>
        <v>#VALUE!</v>
      </c>
      <c r="Q113" s="110" t="e">
        <f t="shared" si="40"/>
        <v>#VALUE!</v>
      </c>
      <c r="R113" s="56" t="e">
        <f t="shared" si="41"/>
        <v>#VALUE!</v>
      </c>
      <c r="S113" s="112" t="e">
        <f t="shared" si="56"/>
        <v>#VALUE!</v>
      </c>
      <c r="T113" s="72">
        <f t="shared" si="42"/>
        <v>41.357848106496064</v>
      </c>
      <c r="U113" s="111" t="e">
        <f t="shared" si="43"/>
        <v>#VALUE!</v>
      </c>
      <c r="V113" s="110" t="e">
        <f t="shared" si="44"/>
        <v>#VALUE!</v>
      </c>
      <c r="W113" s="56" t="e">
        <f t="shared" si="45"/>
        <v>#VALUE!</v>
      </c>
      <c r="X113" s="72">
        <f t="shared" si="57"/>
        <v>1.0045714285714284</v>
      </c>
    </row>
    <row r="114" spans="1:24" x14ac:dyDescent="0.35">
      <c r="A114" s="63">
        <f t="shared" si="48"/>
        <v>-53</v>
      </c>
      <c r="B114" s="108">
        <f t="shared" si="35"/>
        <v>10.301142857142857</v>
      </c>
      <c r="C114" s="55" t="e">
        <f t="shared" si="46"/>
        <v>#VALUE!</v>
      </c>
      <c r="D114" s="55" t="e">
        <f t="shared" si="36"/>
        <v>#VALUE!</v>
      </c>
      <c r="E114" s="55" t="e">
        <f t="shared" si="49"/>
        <v>#VALUE!</v>
      </c>
      <c r="F114" s="55" t="e">
        <f t="shared" si="50"/>
        <v>#VALUE!</v>
      </c>
      <c r="G114" s="75">
        <f t="shared" si="51"/>
        <v>0.6</v>
      </c>
      <c r="H114" s="56" t="e">
        <f t="shared" si="47"/>
        <v>#VALUE!</v>
      </c>
      <c r="I114" s="75">
        <f t="shared" si="52"/>
        <v>0.75</v>
      </c>
      <c r="J114" s="64">
        <f t="shared" si="53"/>
        <v>829.62000000000012</v>
      </c>
      <c r="K114" s="56">
        <f t="shared" si="37"/>
        <v>741.44</v>
      </c>
      <c r="L114" s="56" t="e">
        <f t="shared" si="38"/>
        <v>#VALUE!</v>
      </c>
      <c r="M114" s="56" t="e">
        <f t="shared" si="39"/>
        <v>#VALUE!</v>
      </c>
      <c r="N114" s="52">
        <v>88.18</v>
      </c>
      <c r="O114" s="110">
        <f t="shared" si="54"/>
        <v>0</v>
      </c>
      <c r="P114" s="56" t="e">
        <f t="shared" si="55"/>
        <v>#VALUE!</v>
      </c>
      <c r="Q114" s="110" t="e">
        <f t="shared" si="40"/>
        <v>#VALUE!</v>
      </c>
      <c r="R114" s="56" t="e">
        <f t="shared" si="41"/>
        <v>#VALUE!</v>
      </c>
      <c r="S114" s="112" t="e">
        <f t="shared" si="56"/>
        <v>#VALUE!</v>
      </c>
      <c r="T114" s="72">
        <f t="shared" si="42"/>
        <v>41.594369811309804</v>
      </c>
      <c r="U114" s="111" t="e">
        <f t="shared" si="43"/>
        <v>#VALUE!</v>
      </c>
      <c r="V114" s="110" t="e">
        <f t="shared" si="44"/>
        <v>#VALUE!</v>
      </c>
      <c r="W114" s="56" t="e">
        <f t="shared" si="45"/>
        <v>#VALUE!</v>
      </c>
      <c r="X114" s="72">
        <f t="shared" si="57"/>
        <v>1.0045714285714284</v>
      </c>
    </row>
    <row r="115" spans="1:24" x14ac:dyDescent="0.35">
      <c r="A115" s="63">
        <f t="shared" si="48"/>
        <v>-54</v>
      </c>
      <c r="B115" s="108">
        <f t="shared" si="35"/>
        <v>9.1565714285714286</v>
      </c>
      <c r="C115" s="55" t="e">
        <f t="shared" si="46"/>
        <v>#VALUE!</v>
      </c>
      <c r="D115" s="55" t="e">
        <f t="shared" si="36"/>
        <v>#VALUE!</v>
      </c>
      <c r="E115" s="55" t="e">
        <f t="shared" si="49"/>
        <v>#VALUE!</v>
      </c>
      <c r="F115" s="55" t="e">
        <f t="shared" si="50"/>
        <v>#VALUE!</v>
      </c>
      <c r="G115" s="75">
        <f t="shared" si="51"/>
        <v>0.6</v>
      </c>
      <c r="H115" s="56" t="e">
        <f t="shared" si="47"/>
        <v>#VALUE!</v>
      </c>
      <c r="I115" s="75">
        <f t="shared" si="52"/>
        <v>0.75</v>
      </c>
      <c r="J115" s="64">
        <f t="shared" si="53"/>
        <v>741.44</v>
      </c>
      <c r="K115" s="56">
        <f t="shared" si="37"/>
        <v>652.26</v>
      </c>
      <c r="L115" s="56" t="e">
        <f t="shared" si="38"/>
        <v>#VALUE!</v>
      </c>
      <c r="M115" s="56" t="e">
        <f t="shared" si="39"/>
        <v>#VALUE!</v>
      </c>
      <c r="N115" s="52">
        <v>89.18</v>
      </c>
      <c r="O115" s="110">
        <f t="shared" si="54"/>
        <v>0</v>
      </c>
      <c r="P115" s="56" t="e">
        <f t="shared" si="55"/>
        <v>#VALUE!</v>
      </c>
      <c r="Q115" s="110" t="e">
        <f t="shared" si="40"/>
        <v>#VALUE!</v>
      </c>
      <c r="R115" s="56" t="e">
        <f t="shared" si="41"/>
        <v>#VALUE!</v>
      </c>
      <c r="S115" s="112" t="e">
        <f t="shared" si="56"/>
        <v>#VALUE!</v>
      </c>
      <c r="T115" s="72">
        <f t="shared" si="42"/>
        <v>41.829554145364739</v>
      </c>
      <c r="U115" s="111" t="e">
        <f t="shared" si="43"/>
        <v>#VALUE!</v>
      </c>
      <c r="V115" s="110" t="e">
        <f t="shared" si="44"/>
        <v>#VALUE!</v>
      </c>
      <c r="W115" s="56" t="e">
        <f t="shared" si="45"/>
        <v>#VALUE!</v>
      </c>
      <c r="X115" s="72">
        <f t="shared" si="57"/>
        <v>1.0045714285714284</v>
      </c>
    </row>
    <row r="116" spans="1:24" x14ac:dyDescent="0.35">
      <c r="A116" s="63">
        <f t="shared" si="48"/>
        <v>-55</v>
      </c>
      <c r="B116" s="108">
        <f t="shared" si="35"/>
        <v>8.0119999999999987</v>
      </c>
      <c r="C116" s="55" t="e">
        <f t="shared" si="46"/>
        <v>#VALUE!</v>
      </c>
      <c r="D116" s="55" t="e">
        <f t="shared" si="36"/>
        <v>#VALUE!</v>
      </c>
      <c r="E116" s="55" t="e">
        <f t="shared" si="49"/>
        <v>#VALUE!</v>
      </c>
      <c r="F116" s="55" t="e">
        <f t="shared" si="50"/>
        <v>#VALUE!</v>
      </c>
      <c r="G116" s="75">
        <f t="shared" si="51"/>
        <v>0.6</v>
      </c>
      <c r="H116" s="56" t="e">
        <f t="shared" si="47"/>
        <v>#VALUE!</v>
      </c>
      <c r="I116" s="75">
        <f t="shared" si="52"/>
        <v>0.75</v>
      </c>
      <c r="J116" s="64">
        <f t="shared" si="53"/>
        <v>652.26</v>
      </c>
      <c r="K116" s="56">
        <f t="shared" si="37"/>
        <v>562.08000000000004</v>
      </c>
      <c r="L116" s="56" t="e">
        <f t="shared" si="38"/>
        <v>#VALUE!</v>
      </c>
      <c r="M116" s="56" t="e">
        <f t="shared" si="39"/>
        <v>#VALUE!</v>
      </c>
      <c r="N116" s="52">
        <v>90.18</v>
      </c>
      <c r="O116" s="110">
        <f t="shared" si="54"/>
        <v>0</v>
      </c>
      <c r="P116" s="56" t="e">
        <f t="shared" si="55"/>
        <v>#VALUE!</v>
      </c>
      <c r="Q116" s="110" t="e">
        <f t="shared" si="40"/>
        <v>#VALUE!</v>
      </c>
      <c r="R116" s="56" t="e">
        <f t="shared" si="41"/>
        <v>#VALUE!</v>
      </c>
      <c r="S116" s="112" t="e">
        <f t="shared" si="56"/>
        <v>#VALUE!</v>
      </c>
      <c r="T116" s="72">
        <f t="shared" si="42"/>
        <v>42.063423541124187</v>
      </c>
      <c r="U116" s="111" t="e">
        <f t="shared" si="43"/>
        <v>#VALUE!</v>
      </c>
      <c r="V116" s="110" t="e">
        <f t="shared" si="44"/>
        <v>#VALUE!</v>
      </c>
      <c r="W116" s="56" t="e">
        <f t="shared" si="45"/>
        <v>#VALUE!</v>
      </c>
      <c r="X116" s="72">
        <f t="shared" si="57"/>
        <v>1.0045714285714284</v>
      </c>
    </row>
    <row r="117" spans="1:24" x14ac:dyDescent="0.35">
      <c r="A117" s="63">
        <f t="shared" si="48"/>
        <v>-56</v>
      </c>
      <c r="B117" s="108">
        <f t="shared" si="35"/>
        <v>6.8674285714285697</v>
      </c>
      <c r="C117" s="55" t="e">
        <f t="shared" si="46"/>
        <v>#VALUE!</v>
      </c>
      <c r="D117" s="55" t="e">
        <f t="shared" si="36"/>
        <v>#VALUE!</v>
      </c>
      <c r="E117" s="55" t="e">
        <f t="shared" si="49"/>
        <v>#VALUE!</v>
      </c>
      <c r="F117" s="55" t="e">
        <f t="shared" si="50"/>
        <v>#VALUE!</v>
      </c>
      <c r="G117" s="75">
        <f t="shared" si="51"/>
        <v>0.6</v>
      </c>
      <c r="H117" s="56" t="e">
        <f t="shared" si="47"/>
        <v>#VALUE!</v>
      </c>
      <c r="I117" s="75">
        <f t="shared" si="52"/>
        <v>0.75</v>
      </c>
      <c r="J117" s="64">
        <f t="shared" si="53"/>
        <v>562.08000000000004</v>
      </c>
      <c r="K117" s="56">
        <f t="shared" si="37"/>
        <v>470.90000000000003</v>
      </c>
      <c r="L117" s="56" t="e">
        <f t="shared" si="38"/>
        <v>#VALUE!</v>
      </c>
      <c r="M117" s="56" t="e">
        <f t="shared" si="39"/>
        <v>#VALUE!</v>
      </c>
      <c r="N117" s="52">
        <v>91.18</v>
      </c>
      <c r="O117" s="110">
        <f t="shared" si="54"/>
        <v>0</v>
      </c>
      <c r="P117" s="56" t="e">
        <f t="shared" si="55"/>
        <v>#VALUE!</v>
      </c>
      <c r="Q117" s="110" t="e">
        <f t="shared" si="40"/>
        <v>#VALUE!</v>
      </c>
      <c r="R117" s="56" t="e">
        <f t="shared" si="41"/>
        <v>#VALUE!</v>
      </c>
      <c r="S117" s="112" t="e">
        <f t="shared" si="56"/>
        <v>#VALUE!</v>
      </c>
      <c r="T117" s="72">
        <f t="shared" si="42"/>
        <v>42.29599981085682</v>
      </c>
      <c r="U117" s="111" t="e">
        <f t="shared" si="43"/>
        <v>#VALUE!</v>
      </c>
      <c r="V117" s="110" t="e">
        <f t="shared" si="44"/>
        <v>#VALUE!</v>
      </c>
      <c r="W117" s="56" t="e">
        <f t="shared" si="45"/>
        <v>#VALUE!</v>
      </c>
      <c r="X117" s="72">
        <f t="shared" si="57"/>
        <v>1.0045714285714284</v>
      </c>
    </row>
    <row r="118" spans="1:24" x14ac:dyDescent="0.35">
      <c r="A118" s="63">
        <f t="shared" si="48"/>
        <v>-57</v>
      </c>
      <c r="B118" s="108">
        <f t="shared" si="35"/>
        <v>5.7228571428571415</v>
      </c>
      <c r="C118" s="55" t="e">
        <f t="shared" si="46"/>
        <v>#VALUE!</v>
      </c>
      <c r="D118" s="55" t="e">
        <f t="shared" si="36"/>
        <v>#VALUE!</v>
      </c>
      <c r="E118" s="55" t="e">
        <f t="shared" si="49"/>
        <v>#VALUE!</v>
      </c>
      <c r="F118" s="55" t="e">
        <f t="shared" si="50"/>
        <v>#VALUE!</v>
      </c>
      <c r="G118" s="75">
        <f t="shared" si="51"/>
        <v>0.6</v>
      </c>
      <c r="H118" s="56" t="e">
        <f t="shared" si="47"/>
        <v>#VALUE!</v>
      </c>
      <c r="I118" s="75">
        <f t="shared" si="52"/>
        <v>0.75</v>
      </c>
      <c r="J118" s="64">
        <f t="shared" si="53"/>
        <v>470.90000000000003</v>
      </c>
      <c r="K118" s="56">
        <f t="shared" si="37"/>
        <v>378.72</v>
      </c>
      <c r="L118" s="56" t="e">
        <f t="shared" si="38"/>
        <v>#VALUE!</v>
      </c>
      <c r="M118" s="56" t="e">
        <f t="shared" si="39"/>
        <v>#VALUE!</v>
      </c>
      <c r="N118" s="52">
        <v>92.18</v>
      </c>
      <c r="O118" s="110">
        <f t="shared" si="54"/>
        <v>0</v>
      </c>
      <c r="P118" s="56" t="e">
        <f t="shared" si="55"/>
        <v>#VALUE!</v>
      </c>
      <c r="Q118" s="110" t="e">
        <f t="shared" si="40"/>
        <v>#VALUE!</v>
      </c>
      <c r="R118" s="56" t="e">
        <f t="shared" si="41"/>
        <v>#VALUE!</v>
      </c>
      <c r="S118" s="112" t="e">
        <f t="shared" si="56"/>
        <v>#VALUE!</v>
      </c>
      <c r="T118" s="72">
        <f t="shared" si="42"/>
        <v>42.527304170379765</v>
      </c>
      <c r="U118" s="111" t="e">
        <f t="shared" si="43"/>
        <v>#VALUE!</v>
      </c>
      <c r="V118" s="110" t="e">
        <f t="shared" si="44"/>
        <v>#VALUE!</v>
      </c>
      <c r="W118" s="56" t="e">
        <f t="shared" si="45"/>
        <v>#VALUE!</v>
      </c>
      <c r="X118" s="72">
        <f t="shared" si="57"/>
        <v>1.0045714285714284</v>
      </c>
    </row>
    <row r="119" spans="1:24" x14ac:dyDescent="0.35">
      <c r="A119" s="63">
        <f t="shared" si="48"/>
        <v>-58</v>
      </c>
      <c r="B119" s="108">
        <f t="shared" si="35"/>
        <v>4.5782857142857134</v>
      </c>
      <c r="C119" s="55" t="e">
        <f t="shared" si="46"/>
        <v>#VALUE!</v>
      </c>
      <c r="D119" s="55" t="e">
        <f t="shared" si="36"/>
        <v>#VALUE!</v>
      </c>
      <c r="E119" s="55" t="e">
        <f t="shared" si="49"/>
        <v>#VALUE!</v>
      </c>
      <c r="F119" s="55" t="e">
        <f t="shared" si="50"/>
        <v>#VALUE!</v>
      </c>
      <c r="G119" s="75">
        <f t="shared" si="51"/>
        <v>0.6</v>
      </c>
      <c r="H119" s="56" t="e">
        <f t="shared" si="47"/>
        <v>#VALUE!</v>
      </c>
      <c r="I119" s="75">
        <f t="shared" si="52"/>
        <v>0.75</v>
      </c>
      <c r="J119" s="64">
        <f t="shared" si="53"/>
        <v>378.72</v>
      </c>
      <c r="K119" s="56">
        <f t="shared" si="37"/>
        <v>285.54000000000002</v>
      </c>
      <c r="L119" s="56" t="e">
        <f t="shared" si="38"/>
        <v>#VALUE!</v>
      </c>
      <c r="M119" s="56" t="e">
        <f t="shared" si="39"/>
        <v>#VALUE!</v>
      </c>
      <c r="N119" s="52">
        <v>93.18</v>
      </c>
      <c r="O119" s="110">
        <f t="shared" si="54"/>
        <v>0</v>
      </c>
      <c r="P119" s="56" t="e">
        <f t="shared" si="55"/>
        <v>#VALUE!</v>
      </c>
      <c r="Q119" s="110" t="e">
        <f t="shared" si="40"/>
        <v>#VALUE!</v>
      </c>
      <c r="R119" s="56" t="e">
        <f t="shared" si="41"/>
        <v>#VALUE!</v>
      </c>
      <c r="S119" s="112" t="e">
        <f t="shared" si="56"/>
        <v>#VALUE!</v>
      </c>
      <c r="T119" s="72">
        <f t="shared" si="42"/>
        <v>42.75735726164563</v>
      </c>
      <c r="U119" s="111" t="e">
        <f t="shared" si="43"/>
        <v>#VALUE!</v>
      </c>
      <c r="V119" s="110" t="e">
        <f t="shared" si="44"/>
        <v>#VALUE!</v>
      </c>
      <c r="W119" s="56" t="e">
        <f t="shared" si="45"/>
        <v>#VALUE!</v>
      </c>
      <c r="X119" s="72">
        <f t="shared" si="57"/>
        <v>1.0045714285714284</v>
      </c>
    </row>
    <row r="120" spans="1:24" x14ac:dyDescent="0.35">
      <c r="A120" s="63">
        <f t="shared" si="48"/>
        <v>-59</v>
      </c>
      <c r="B120" s="108">
        <f t="shared" si="35"/>
        <v>3.4337142857142857</v>
      </c>
      <c r="C120" s="55" t="e">
        <f t="shared" si="46"/>
        <v>#VALUE!</v>
      </c>
      <c r="D120" s="55" t="e">
        <f t="shared" si="36"/>
        <v>#VALUE!</v>
      </c>
      <c r="E120" s="55" t="e">
        <f t="shared" si="49"/>
        <v>#VALUE!</v>
      </c>
      <c r="F120" s="55" t="e">
        <f t="shared" si="50"/>
        <v>#VALUE!</v>
      </c>
      <c r="G120" s="75">
        <f t="shared" si="51"/>
        <v>0.6</v>
      </c>
      <c r="H120" s="56" t="e">
        <f t="shared" si="47"/>
        <v>#VALUE!</v>
      </c>
      <c r="I120" s="75">
        <f t="shared" si="52"/>
        <v>0.75</v>
      </c>
      <c r="J120" s="64">
        <f t="shared" si="53"/>
        <v>285.54000000000002</v>
      </c>
      <c r="K120" s="56">
        <f t="shared" si="37"/>
        <v>191.36</v>
      </c>
      <c r="L120" s="56" t="e">
        <f t="shared" si="38"/>
        <v>#VALUE!</v>
      </c>
      <c r="M120" s="56" t="e">
        <f t="shared" si="39"/>
        <v>#VALUE!</v>
      </c>
      <c r="N120" s="52">
        <v>94.18</v>
      </c>
      <c r="O120" s="110">
        <f t="shared" si="54"/>
        <v>0</v>
      </c>
      <c r="P120" s="56" t="e">
        <f t="shared" si="55"/>
        <v>#VALUE!</v>
      </c>
      <c r="Q120" s="110" t="e">
        <f t="shared" si="40"/>
        <v>#VALUE!</v>
      </c>
      <c r="R120" s="56" t="e">
        <f t="shared" si="41"/>
        <v>#VALUE!</v>
      </c>
      <c r="S120" s="112" t="e">
        <f t="shared" si="56"/>
        <v>#VALUE!</v>
      </c>
      <c r="T120" s="72">
        <f t="shared" si="42"/>
        <v>42.986179174241578</v>
      </c>
      <c r="U120" s="111" t="e">
        <f t="shared" si="43"/>
        <v>#VALUE!</v>
      </c>
      <c r="V120" s="110" t="e">
        <f t="shared" si="44"/>
        <v>#VALUE!</v>
      </c>
      <c r="W120" s="56" t="e">
        <f t="shared" si="45"/>
        <v>#VALUE!</v>
      </c>
      <c r="X120" s="72">
        <f t="shared" si="57"/>
        <v>1.0045714285714284</v>
      </c>
    </row>
    <row r="121" spans="1:24" x14ac:dyDescent="0.35">
      <c r="A121" s="63">
        <f t="shared" si="48"/>
        <v>-60</v>
      </c>
      <c r="B121" s="108">
        <f>IF(A121=1,0,B122+X121+$F$19)</f>
        <v>2.2891428571428571</v>
      </c>
      <c r="C121" s="55" t="e">
        <f t="shared" si="46"/>
        <v>#VALUE!</v>
      </c>
      <c r="D121" s="55" t="e">
        <f>C121-$F$19*$L$10</f>
        <v>#VALUE!</v>
      </c>
      <c r="E121" s="55" t="e">
        <f t="shared" si="49"/>
        <v>#VALUE!</v>
      </c>
      <c r="F121" s="55" t="e">
        <f t="shared" si="50"/>
        <v>#VALUE!</v>
      </c>
      <c r="G121" s="75">
        <f t="shared" si="51"/>
        <v>0.6</v>
      </c>
      <c r="H121" s="56" t="e">
        <f t="shared" si="47"/>
        <v>#VALUE!</v>
      </c>
      <c r="I121" s="75">
        <f t="shared" si="52"/>
        <v>0.75</v>
      </c>
      <c r="J121" s="64">
        <f t="shared" si="53"/>
        <v>191.36</v>
      </c>
      <c r="K121" s="56">
        <f t="shared" si="37"/>
        <v>96.18</v>
      </c>
      <c r="L121" s="56" t="e">
        <f t="shared" si="38"/>
        <v>#VALUE!</v>
      </c>
      <c r="M121" s="56" t="e">
        <f t="shared" si="39"/>
        <v>#VALUE!</v>
      </c>
      <c r="N121" s="52">
        <v>95.18</v>
      </c>
      <c r="O121" s="110">
        <f t="shared" si="54"/>
        <v>0</v>
      </c>
      <c r="P121" s="56" t="e">
        <f t="shared" si="55"/>
        <v>#VALUE!</v>
      </c>
      <c r="Q121" s="110" t="e">
        <f>IF(J121&gt;F121,SQRT(2*9.81)*L121^1.5*$F$17*P121*G121*2/3,0)</f>
        <v>#VALUE!</v>
      </c>
      <c r="R121" s="56" t="e">
        <f t="shared" si="41"/>
        <v>#VALUE!</v>
      </c>
      <c r="S121" s="112" t="e">
        <f t="shared" si="56"/>
        <v>#VALUE!</v>
      </c>
      <c r="T121" s="72">
        <f t="shared" si="42"/>
        <v>43.21378946586379</v>
      </c>
      <c r="U121" s="111" t="e">
        <f t="shared" si="43"/>
        <v>#VALUE!</v>
      </c>
      <c r="V121" s="110" t="e">
        <f t="shared" si="44"/>
        <v>#VALUE!</v>
      </c>
      <c r="W121" s="56" t="e">
        <f>IF(A121=1," ",V121*$F$20)</f>
        <v>#VALUE!</v>
      </c>
      <c r="X121" s="72">
        <f t="shared" si="57"/>
        <v>1.0045714285714284</v>
      </c>
    </row>
    <row r="122" spans="1:24" x14ac:dyDescent="0.35">
      <c r="A122" s="63">
        <f t="shared" si="48"/>
        <v>-61</v>
      </c>
      <c r="B122" s="108">
        <f>IF(A122=1,0,B123+X122+$F$19)</f>
        <v>1.1445714285714286</v>
      </c>
      <c r="C122" s="55" t="e">
        <f t="shared" si="46"/>
        <v>#VALUE!</v>
      </c>
      <c r="D122" s="55" t="e">
        <f>C122-$F$19*$L$10</f>
        <v>#VALUE!</v>
      </c>
      <c r="E122" s="55" t="e">
        <f t="shared" si="49"/>
        <v>#VALUE!</v>
      </c>
      <c r="F122" s="55" t="e">
        <f t="shared" si="50"/>
        <v>#VALUE!</v>
      </c>
      <c r="G122" s="75">
        <f t="shared" si="51"/>
        <v>0.6</v>
      </c>
      <c r="H122" s="56" t="e">
        <f t="shared" si="47"/>
        <v>#VALUE!</v>
      </c>
      <c r="I122" s="75">
        <f t="shared" si="52"/>
        <v>0.75</v>
      </c>
      <c r="J122" s="64">
        <f t="shared" si="53"/>
        <v>96.18</v>
      </c>
      <c r="K122" s="56">
        <f t="shared" si="37"/>
        <v>0</v>
      </c>
      <c r="L122" s="56" t="e">
        <f t="shared" si="38"/>
        <v>#VALUE!</v>
      </c>
      <c r="M122" s="56" t="e">
        <f t="shared" si="39"/>
        <v>#VALUE!</v>
      </c>
      <c r="N122" s="52">
        <v>96.18</v>
      </c>
      <c r="O122" s="110">
        <f t="shared" si="54"/>
        <v>0</v>
      </c>
      <c r="P122" s="56" t="e">
        <f t="shared" si="55"/>
        <v>#VALUE!</v>
      </c>
      <c r="Q122" s="110" t="e">
        <f>IF(J122&gt;F122,SQRT(2*9.81)*L122^1.5*$F$17*P122*G122*2/3,0)</f>
        <v>#VALUE!</v>
      </c>
      <c r="R122" s="56" t="e">
        <f t="shared" si="41"/>
        <v>#VALUE!</v>
      </c>
      <c r="S122" s="112" t="e">
        <f t="shared" si="56"/>
        <v>#VALUE!</v>
      </c>
      <c r="T122" s="72">
        <f t="shared" si="42"/>
        <v>43.440207181826381</v>
      </c>
      <c r="U122" s="111" t="e">
        <f t="shared" si="43"/>
        <v>#VALUE!</v>
      </c>
      <c r="V122" s="110" t="e">
        <f t="shared" si="44"/>
        <v>#VALUE!</v>
      </c>
      <c r="W122" s="56" t="e">
        <f>IF(A122=1," ",V122*$F$20)</f>
        <v>#VALUE!</v>
      </c>
      <c r="X122" s="72">
        <f t="shared" si="57"/>
        <v>1.0045714285714284</v>
      </c>
    </row>
    <row r="123" spans="1:24" x14ac:dyDescent="0.35">
      <c r="H123" s="56">
        <f t="shared" si="47"/>
        <v>1</v>
      </c>
      <c r="M123" s="56">
        <f t="shared" si="39"/>
        <v>0</v>
      </c>
    </row>
  </sheetData>
  <mergeCells count="2">
    <mergeCell ref="A23:T23"/>
    <mergeCell ref="U23:X23"/>
  </mergeCells>
  <conditionalFormatting sqref="A25 C25:G25 M26:M123 I25:X25">
    <cfRule type="expression" dxfId="1" priority="2" stopIfTrue="1">
      <formula>$A25&lt;1</formula>
    </cfRule>
  </conditionalFormatting>
  <conditionalFormatting sqref="A26:A122 B25:B122 C26:G122 I26:X122 H25:H123">
    <cfRule type="expression" dxfId="0" priority="1" stopIfTrue="1">
      <formula>$A25&lt;1</formula>
    </cfRule>
  </conditionalFormatting>
  <pageMargins left="0.7" right="0.7" top="0.78740157499999996" bottom="0.78740157499999996"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77851-76D7-40B4-915A-61208A336FBE}">
  <dimension ref="A1:L56"/>
  <sheetViews>
    <sheetView tabSelected="1" topLeftCell="A28" workbookViewId="0">
      <selection activeCell="F48" sqref="F48"/>
    </sheetView>
  </sheetViews>
  <sheetFormatPr baseColWidth="10" defaultRowHeight="14.5" x14ac:dyDescent="0.35"/>
  <cols>
    <col min="2" max="2" width="39.1796875" customWidth="1"/>
    <col min="3" max="3" width="12" bestFit="1" customWidth="1"/>
    <col min="9" max="9" width="14" customWidth="1"/>
  </cols>
  <sheetData>
    <row r="1" spans="1:12" ht="16" thickBot="1" x14ac:dyDescent="0.4">
      <c r="A1" s="4" t="s">
        <v>421</v>
      </c>
      <c r="H1" s="254" t="s">
        <v>434</v>
      </c>
      <c r="I1" s="255"/>
      <c r="L1" t="s">
        <v>392</v>
      </c>
    </row>
    <row r="2" spans="1:12" x14ac:dyDescent="0.35">
      <c r="A2" s="4"/>
    </row>
    <row r="3" spans="1:12" x14ac:dyDescent="0.35">
      <c r="A3" s="11" t="s">
        <v>6</v>
      </c>
      <c r="B3" s="301" t="s">
        <v>422</v>
      </c>
      <c r="C3" s="302"/>
      <c r="D3" s="302"/>
      <c r="E3" s="302"/>
      <c r="F3" s="302"/>
      <c r="G3" s="303"/>
      <c r="I3" s="16" t="s">
        <v>36</v>
      </c>
    </row>
    <row r="4" spans="1:12" x14ac:dyDescent="0.35">
      <c r="A4" s="11" t="s">
        <v>7</v>
      </c>
      <c r="B4" s="301" t="s">
        <v>423</v>
      </c>
      <c r="C4" s="302"/>
      <c r="D4" s="302"/>
      <c r="E4" s="302"/>
      <c r="F4" s="302"/>
      <c r="G4" s="303"/>
      <c r="I4" s="227" t="s">
        <v>346</v>
      </c>
    </row>
    <row r="6" spans="1:12" x14ac:dyDescent="0.35">
      <c r="B6" s="12" t="s">
        <v>393</v>
      </c>
      <c r="C6" s="210">
        <v>50</v>
      </c>
      <c r="D6" s="228" t="s">
        <v>157</v>
      </c>
      <c r="E6" s="256">
        <f>100/C6</f>
        <v>2</v>
      </c>
    </row>
    <row r="7" spans="1:12" ht="15" x14ac:dyDescent="0.4">
      <c r="B7" s="26" t="s">
        <v>394</v>
      </c>
      <c r="C7" s="16">
        <v>0.30715243121256708</v>
      </c>
      <c r="E7" s="4" t="s">
        <v>437</v>
      </c>
    </row>
    <row r="8" spans="1:12" ht="16.5" x14ac:dyDescent="0.45">
      <c r="B8" s="229" t="s">
        <v>347</v>
      </c>
      <c r="C8" s="230">
        <f>C7-C12/6</f>
        <v>0.25715243121256709</v>
      </c>
      <c r="E8" s="142" t="s">
        <v>424</v>
      </c>
    </row>
    <row r="9" spans="1:12" x14ac:dyDescent="0.35">
      <c r="B9" s="12" t="s">
        <v>395</v>
      </c>
      <c r="C9" s="16">
        <v>8.5</v>
      </c>
    </row>
    <row r="10" spans="1:12" x14ac:dyDescent="0.35">
      <c r="B10" s="12" t="s">
        <v>348</v>
      </c>
      <c r="C10" s="16">
        <v>1.5</v>
      </c>
    </row>
    <row r="11" spans="1:12" x14ac:dyDescent="0.35">
      <c r="B11" s="12" t="s">
        <v>349</v>
      </c>
      <c r="C11" s="16">
        <v>1.5</v>
      </c>
    </row>
    <row r="12" spans="1:12" ht="20.5" x14ac:dyDescent="0.55000000000000004">
      <c r="B12" s="12" t="s">
        <v>396</v>
      </c>
      <c r="C12" s="16">
        <v>0.3</v>
      </c>
      <c r="E12" s="231" t="s">
        <v>397</v>
      </c>
    </row>
    <row r="13" spans="1:12" ht="16.5" x14ac:dyDescent="0.45">
      <c r="B13" s="12" t="s">
        <v>398</v>
      </c>
      <c r="C13" s="16">
        <v>1</v>
      </c>
    </row>
    <row r="14" spans="1:12" x14ac:dyDescent="0.35">
      <c r="B14" s="12" t="s">
        <v>350</v>
      </c>
      <c r="C14" s="16">
        <v>0.5</v>
      </c>
    </row>
    <row r="15" spans="1:12" ht="15" x14ac:dyDescent="0.4">
      <c r="B15" s="26" t="s">
        <v>399</v>
      </c>
      <c r="C15" s="16">
        <v>3.65</v>
      </c>
      <c r="E15" s="15" t="s">
        <v>351</v>
      </c>
    </row>
    <row r="16" spans="1:12" ht="16.5" x14ac:dyDescent="0.45">
      <c r="B16" s="12" t="s">
        <v>400</v>
      </c>
      <c r="C16" s="16">
        <v>1.5</v>
      </c>
      <c r="E16" s="15" t="s">
        <v>352</v>
      </c>
    </row>
    <row r="17" spans="2:5" x14ac:dyDescent="0.35">
      <c r="B17" s="12" t="s">
        <v>353</v>
      </c>
      <c r="C17" s="16">
        <v>6</v>
      </c>
      <c r="E17" s="15"/>
    </row>
    <row r="18" spans="2:5" ht="15" x14ac:dyDescent="0.4">
      <c r="B18" s="12" t="s">
        <v>401</v>
      </c>
      <c r="C18" s="257">
        <f>IF(OR(C19="r",C19="z"),1,1.2)</f>
        <v>1.2</v>
      </c>
      <c r="E18" s="232" t="s">
        <v>354</v>
      </c>
    </row>
    <row r="19" spans="2:5" x14ac:dyDescent="0.35">
      <c r="B19" s="26" t="s">
        <v>402</v>
      </c>
      <c r="C19" s="233" t="s">
        <v>355</v>
      </c>
    </row>
    <row r="20" spans="2:5" x14ac:dyDescent="0.35">
      <c r="B20" s="26" t="s">
        <v>403</v>
      </c>
      <c r="C20" s="233" t="s">
        <v>425</v>
      </c>
    </row>
    <row r="21" spans="2:5" x14ac:dyDescent="0.35">
      <c r="B21" s="26" t="s">
        <v>426</v>
      </c>
      <c r="C21" s="258" t="s">
        <v>425</v>
      </c>
      <c r="D21" s="259" t="s">
        <v>427</v>
      </c>
      <c r="E21" t="s">
        <v>428</v>
      </c>
    </row>
    <row r="22" spans="2:5" x14ac:dyDescent="0.35">
      <c r="B22" s="26" t="s">
        <v>429</v>
      </c>
      <c r="C22" s="16">
        <f>C23*C6</f>
        <v>25</v>
      </c>
      <c r="D22" s="259" t="s">
        <v>427</v>
      </c>
    </row>
    <row r="23" spans="2:5" x14ac:dyDescent="0.35">
      <c r="B23" s="26" t="s">
        <v>430</v>
      </c>
      <c r="C23" s="16">
        <v>0.5</v>
      </c>
      <c r="D23" s="259" t="s">
        <v>427</v>
      </c>
      <c r="E23" t="s">
        <v>431</v>
      </c>
    </row>
    <row r="25" spans="2:5" ht="16.5" x14ac:dyDescent="0.45">
      <c r="B25" s="12" t="s">
        <v>356</v>
      </c>
      <c r="C25" s="227">
        <f>C38*C15</f>
        <v>7.3</v>
      </c>
      <c r="E25" t="s">
        <v>433</v>
      </c>
    </row>
    <row r="26" spans="2:5" x14ac:dyDescent="0.35">
      <c r="B26" s="26" t="s">
        <v>357</v>
      </c>
      <c r="C26" s="234" t="str">
        <f>IF(AND(C6&lt;101,C6&gt;17.857),"okay","Sohlgefälle außerhalb des Gültigkeitsbereichs des Berechnungsverfahrens")</f>
        <v>okay</v>
      </c>
    </row>
    <row r="27" spans="2:5" x14ac:dyDescent="0.35">
      <c r="B27" s="12" t="s">
        <v>358</v>
      </c>
      <c r="C27" s="234" t="str">
        <f>IF(AND(C15/C13&gt;1.49999,C15/C13&lt;5.0000001,C16/C13&gt;1.499999,C16/C13&lt;5.000001),"okay","Berechnungsverfahren wegen Steinabständen nicht im Gültigkeitsbereich")</f>
        <v>okay</v>
      </c>
      <c r="D27" s="6"/>
    </row>
    <row r="28" spans="2:5" x14ac:dyDescent="0.35">
      <c r="B28" s="26" t="s">
        <v>359</v>
      </c>
      <c r="C28" s="234" t="str">
        <f>IF(C7/C13&lt;1.66,IF(C7/C12&lt;2,"Berechnungsverfahren wegen Verhältnis von hm zu ks nicht im Gültigkeitsbereich","okay"),"Berechnungsverfahren wegen Verhältnis hm zu ds nicht im Gültigkeitsbereich")</f>
        <v>Berechnungsverfahren wegen Verhältnis von hm zu ks nicht im Gültigkeitsbereich</v>
      </c>
    </row>
    <row r="29" spans="2:5" ht="16.5" x14ac:dyDescent="0.45">
      <c r="B29" s="12" t="s">
        <v>404</v>
      </c>
      <c r="C29" s="240">
        <f>IF(C7&lt;C14,IF(OR(C19="z",C19="q"),C7*C13,C7*C13*0.9),IF(OR(C19="z",C19="q"),C13*C14,C13*C14*0.9))</f>
        <v>0.30715243121256708</v>
      </c>
      <c r="E29" t="s">
        <v>360</v>
      </c>
    </row>
    <row r="30" spans="2:5" ht="15" x14ac:dyDescent="0.4">
      <c r="B30" s="26" t="s">
        <v>405</v>
      </c>
      <c r="C30" s="240">
        <f>(C9+C36)/2*C7</f>
        <v>2.7523095893065062</v>
      </c>
      <c r="E30" t="s">
        <v>361</v>
      </c>
    </row>
    <row r="31" spans="2:5" x14ac:dyDescent="0.35">
      <c r="B31" s="12" t="s">
        <v>362</v>
      </c>
      <c r="C31" s="235">
        <f>C15-C13</f>
        <v>2.65</v>
      </c>
    </row>
    <row r="32" spans="2:5" x14ac:dyDescent="0.35">
      <c r="B32" s="12" t="s">
        <v>363</v>
      </c>
      <c r="C32" s="235">
        <f>C16-C13</f>
        <v>0.5</v>
      </c>
    </row>
    <row r="33" spans="2:9" x14ac:dyDescent="0.35">
      <c r="B33" s="12" t="s">
        <v>432</v>
      </c>
      <c r="C33" s="235">
        <f>C17*C13+(C17-1)*C32</f>
        <v>8.5</v>
      </c>
    </row>
    <row r="34" spans="2:9" ht="15" x14ac:dyDescent="0.4">
      <c r="B34" s="12" t="s">
        <v>406</v>
      </c>
      <c r="C34" s="236">
        <f>C9+SQRT(C7^2+(C10*C7)^2)+SQRT(C7^2+(C11*C7)^2)</f>
        <v>9.6074538401203355</v>
      </c>
    </row>
    <row r="35" spans="2:9" x14ac:dyDescent="0.35">
      <c r="B35" s="12" t="s">
        <v>364</v>
      </c>
      <c r="C35" s="237">
        <f>C30/C34</f>
        <v>0.28647648327103831</v>
      </c>
      <c r="H35" s="12" t="s">
        <v>407</v>
      </c>
      <c r="I35" s="238">
        <f>C32/C13</f>
        <v>0.5</v>
      </c>
    </row>
    <row r="36" spans="2:9" x14ac:dyDescent="0.35">
      <c r="B36" s="12" t="s">
        <v>408</v>
      </c>
      <c r="C36" s="238">
        <f>C9+C10*C7+C11*C7</f>
        <v>9.421457293637701</v>
      </c>
    </row>
    <row r="37" spans="2:9" x14ac:dyDescent="0.35">
      <c r="B37" s="11" t="s">
        <v>365</v>
      </c>
      <c r="C37" s="239">
        <v>11</v>
      </c>
    </row>
    <row r="38" spans="2:9" x14ac:dyDescent="0.35">
      <c r="B38" s="11" t="s">
        <v>366</v>
      </c>
      <c r="C38" s="239">
        <v>2</v>
      </c>
    </row>
    <row r="39" spans="2:9" ht="16" x14ac:dyDescent="0.4">
      <c r="B39" s="12" t="s">
        <v>367</v>
      </c>
      <c r="C39" s="240">
        <f>IF(C19="q",C13^2*(IF(C7&gt;C14,C14,C7))*C37/(C30*C25),IF(C19="z",PI()*(C13/2)^2*(IF(C7&gt;C14,C14,C7))*C37/(C30*C25),IF(C19="r",C37*PI()/4*C13^2*(IF(C7&gt;C14,C14,C7))*0.9/(C30*C25))))</f>
        <v>0.16816147151196684</v>
      </c>
      <c r="E39" s="6" t="s">
        <v>436</v>
      </c>
    </row>
    <row r="40" spans="2:9" ht="16" x14ac:dyDescent="0.4">
      <c r="B40" s="12" t="s">
        <v>368</v>
      </c>
      <c r="C40" s="240">
        <f>IF(C19="q",C13^2*C37/(C34*C25),IF(C19="r",PI()*(C13/2)^2*C37/(C34*C25),IF(C19="z",PI()*(C13/2)^2*C37/(C34*C25))))</f>
        <v>0.15684169189301247</v>
      </c>
    </row>
    <row r="41" spans="2:9" ht="15" x14ac:dyDescent="0.4">
      <c r="B41" s="26" t="s">
        <v>409</v>
      </c>
      <c r="C41" s="237">
        <f>(1/(-2*LOG10(C12/(C35*14.84))))^2</f>
        <v>0.18857596296485588</v>
      </c>
    </row>
    <row r="42" spans="2:9" x14ac:dyDescent="0.35">
      <c r="B42" s="26" t="s">
        <v>369</v>
      </c>
      <c r="C42" s="241">
        <f>IF(AND(C19="q",C20="u"),0.5,IF(AND(OR(C19="r",C19="z"),C20="u"),0.6,IF(C20="ü",0.8, "Fehleingabe C19+C20")))</f>
        <v>0.5</v>
      </c>
      <c r="E42" s="232" t="s">
        <v>410</v>
      </c>
    </row>
    <row r="43" spans="2:9" ht="15" thickBot="1" x14ac:dyDescent="0.4">
      <c r="B43" s="26" t="s">
        <v>411</v>
      </c>
      <c r="C43" s="68">
        <v>0.5</v>
      </c>
      <c r="D43" s="6"/>
      <c r="E43" s="6" t="s">
        <v>370</v>
      </c>
    </row>
    <row r="44" spans="2:9" ht="15.5" x14ac:dyDescent="0.35">
      <c r="B44" s="11" t="s">
        <v>371</v>
      </c>
      <c r="C44" s="242">
        <f>IF(C20="u",(C42*C16/(C16-C13))^2*C43+2*9.81*1/C6*C15/C49^2,IF(OR(C20="ü",C21="u"),((C42*C30*C38/(C30*C38-C46))^2*C43+2*9.81*1/C6*C15/C49^2)))</f>
        <v>15.135401086218765</v>
      </c>
      <c r="E44" s="6" t="s">
        <v>435</v>
      </c>
    </row>
    <row r="45" spans="2:9" ht="16" thickBot="1" x14ac:dyDescent="0.4">
      <c r="B45" s="11" t="s">
        <v>372</v>
      </c>
      <c r="C45" s="243">
        <v>15.135401367580432</v>
      </c>
      <c r="E45" s="4" t="s">
        <v>373</v>
      </c>
    </row>
    <row r="46" spans="2:9" ht="15" x14ac:dyDescent="0.4">
      <c r="B46" s="26" t="s">
        <v>412</v>
      </c>
      <c r="C46" s="244">
        <f>C29*C37</f>
        <v>3.3786767433382376</v>
      </c>
      <c r="E46" s="6"/>
    </row>
    <row r="47" spans="2:9" ht="15" x14ac:dyDescent="0.4">
      <c r="B47" s="26" t="s">
        <v>413</v>
      </c>
      <c r="C47" s="236">
        <f>4*C18*C45*C46/(C34*C25)</f>
        <v>3.4998598644185144</v>
      </c>
    </row>
    <row r="48" spans="2:9" ht="15" x14ac:dyDescent="0.4">
      <c r="B48" s="26" t="s">
        <v>414</v>
      </c>
      <c r="C48" s="236">
        <f>(C47+C41*(1-C40))/(1-C39)</f>
        <v>4.398521021804588</v>
      </c>
      <c r="E48" s="245"/>
    </row>
    <row r="49" spans="1:6" ht="15" x14ac:dyDescent="0.4">
      <c r="B49" s="26" t="s">
        <v>415</v>
      </c>
      <c r="C49" s="240">
        <f>SQRT(8*9.81*C35*1/C6/C48)</f>
        <v>0.31973166363772293</v>
      </c>
    </row>
    <row r="50" spans="1:6" ht="15.5" x14ac:dyDescent="0.35">
      <c r="B50" s="12" t="s">
        <v>416</v>
      </c>
      <c r="C50" s="246">
        <f>C49*C30</f>
        <v>0.88000052383502714</v>
      </c>
    </row>
    <row r="51" spans="1:6" ht="15" x14ac:dyDescent="0.4">
      <c r="B51" s="26" t="s">
        <v>417</v>
      </c>
      <c r="C51" s="238">
        <f>C49*C30/(C30-C17*C29)</f>
        <v>0.96767688613811931</v>
      </c>
      <c r="F51" t="s">
        <v>374</v>
      </c>
    </row>
    <row r="52" spans="1:6" x14ac:dyDescent="0.35">
      <c r="B52" s="12" t="s">
        <v>418</v>
      </c>
      <c r="C52" s="240">
        <f>C49/SQRT(9.81*C7)</f>
        <v>0.18419344264775242</v>
      </c>
    </row>
    <row r="53" spans="1:6" ht="15" x14ac:dyDescent="0.4">
      <c r="B53" s="12" t="s">
        <v>419</v>
      </c>
      <c r="C53" s="240">
        <f>C51/SQRT(9.81*C7)</f>
        <v>0.55746664249805022</v>
      </c>
    </row>
    <row r="54" spans="1:6" ht="15.5" x14ac:dyDescent="0.35">
      <c r="B54" s="12" t="s">
        <v>420</v>
      </c>
      <c r="C54" s="247">
        <f>1000*9.81*C25*1/C6*C50/(C25*C30*(1-C39))</f>
        <v>75.412895961603297</v>
      </c>
      <c r="E54" t="s">
        <v>374</v>
      </c>
    </row>
    <row r="56" spans="1:6" x14ac:dyDescent="0.35">
      <c r="A56" s="248"/>
    </row>
  </sheetData>
  <mergeCells count="2">
    <mergeCell ref="B3:G3"/>
    <mergeCell ref="B4:G4"/>
  </mergeCells>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Hilfe und Haftungsausschluss</vt:lpstr>
      <vt:lpstr>Bemessungswerte Raugerinne</vt:lpstr>
      <vt:lpstr>Bemessungswerte FAA</vt:lpstr>
      <vt:lpstr>Bedienung Fischaufstieg Becken</vt:lpstr>
      <vt:lpstr>Riegelrampe</vt:lpstr>
      <vt:lpstr>Riegelrampe variabel </vt:lpstr>
      <vt:lpstr>Schlitzpass</vt:lpstr>
      <vt:lpstr>Techn. Beckenpass</vt:lpstr>
      <vt:lpstr>Störst.-Q30 0,88 m3s-korr</vt:lpstr>
      <vt:lpstr>Bedienhinweis Störsteinbauweise</vt:lpstr>
      <vt:lpstr>Tauchwand-Grundstrahl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2012-10-12T11:31:51Z</dcterms:created>
  <dcterms:modified xsi:type="dcterms:W3CDTF">2025-10-20T10:29:20Z</dcterms:modified>
</cp:coreProperties>
</file>